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0c072d0f408bd6/Desktop/0_manito/書類様式/"/>
    </mc:Choice>
  </mc:AlternateContent>
  <xr:revisionPtr revIDLastSave="24" documentId="8_{5923598D-FEA0-4C62-A3BC-596A764EFDFD}" xr6:coauthVersionLast="47" xr6:coauthVersionMax="47" xr10:uidLastSave="{B8C23A3C-065D-4CAF-85B0-473CFFC4786B}"/>
  <bookViews>
    <workbookView xWindow="-108" yWindow="-108" windowWidth="23256" windowHeight="12456" xr2:uid="{2541603F-859D-4FD6-872F-CDBF930AC4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B3" i="1"/>
  <c r="S8" i="1" s="1"/>
  <c r="T8" i="1"/>
  <c r="T7" i="1"/>
  <c r="O7" i="1" s="1"/>
  <c r="S7" i="1"/>
  <c r="M7" i="1" s="1"/>
  <c r="S14" i="1"/>
  <c r="M14" i="1" s="1"/>
  <c r="T14" i="1"/>
  <c r="O14" i="1" s="1"/>
  <c r="B4" i="1" l="1"/>
  <c r="M8" i="1"/>
  <c r="S9" i="1" s="1"/>
  <c r="O8" i="1"/>
  <c r="T9" i="1" s="1"/>
  <c r="M1" i="1"/>
  <c r="O1" i="1"/>
  <c r="Q1" i="1" a="1"/>
  <c r="Q1" i="1" s="1"/>
  <c r="Q10" i="1" s="1" a="1"/>
  <c r="Q10" i="1" s="1"/>
  <c r="I4" i="1" l="1" a="1"/>
  <c r="I4" i="1" s="1"/>
  <c r="M11" i="1" a="1"/>
  <c r="M11" i="1" s="1"/>
  <c r="O11" i="1" a="1"/>
  <c r="O11" i="1" s="1"/>
  <c r="Q11" i="1" a="1"/>
  <c r="Q11" i="1" s="1"/>
  <c r="O9" i="1"/>
  <c r="M9" i="1"/>
  <c r="B13" i="1" l="1"/>
  <c r="D13" i="1"/>
  <c r="F13" i="1"/>
  <c r="I6" i="1" s="1"/>
  <c r="M2" i="1"/>
  <c r="O2" i="1"/>
  <c r="Q2" i="1" a="1"/>
  <c r="Q2" i="1" s="1"/>
  <c r="Q3" i="1" s="1"/>
  <c r="Q4" i="1" s="1"/>
  <c r="Q5" i="1" s="1"/>
  <c r="O10" i="1" l="1"/>
  <c r="T15" i="1" s="1"/>
  <c r="O3" i="1"/>
  <c r="M3" i="1"/>
  <c r="M10" i="1"/>
  <c r="O6" i="1"/>
  <c r="M6" i="1"/>
  <c r="Q26" i="1" l="1" a="1"/>
  <c r="Q26" i="1" s="1"/>
  <c r="T13" i="1"/>
  <c r="T12" i="1"/>
  <c r="S13" i="1"/>
  <c r="S12" i="1"/>
  <c r="T27" i="1"/>
  <c r="O27" i="1" s="1"/>
  <c r="T28" i="1" s="1"/>
  <c r="O28" i="1" s="1"/>
  <c r="O15" i="1"/>
  <c r="S15" i="1"/>
  <c r="M15" i="1" s="1"/>
  <c r="M4" i="1"/>
  <c r="M5" i="1" s="1"/>
  <c r="O4" i="1"/>
  <c r="O5" i="1" s="1"/>
  <c r="M26" i="1"/>
  <c r="I17" i="1" a="1"/>
  <c r="I17" i="1" s="1"/>
  <c r="T16" i="1" l="1"/>
  <c r="O16" i="1" s="1"/>
  <c r="O18" i="1" s="1"/>
  <c r="S16" i="1"/>
  <c r="O12" i="1"/>
  <c r="T29" i="1" s="1"/>
  <c r="O29" i="1" s="1"/>
  <c r="T30" i="1" s="1"/>
  <c r="M12" i="1"/>
  <c r="O13" i="1"/>
  <c r="M13" i="1"/>
  <c r="S27" i="1"/>
  <c r="M27" i="1" s="1"/>
  <c r="S28" i="1" s="1"/>
  <c r="M28" i="1" s="1"/>
  <c r="O26" i="1"/>
  <c r="S29" i="1" l="1"/>
  <c r="M16" i="1"/>
  <c r="M18" i="1" s="1"/>
  <c r="S19" i="1" s="1"/>
  <c r="T19" i="1"/>
  <c r="O19" i="1" s="1"/>
  <c r="T20" i="1" s="1"/>
  <c r="T22" i="1"/>
  <c r="O22" i="1" s="1"/>
  <c r="T23" i="1" s="1"/>
  <c r="O23" i="1" s="1"/>
  <c r="T24" i="1" s="1"/>
  <c r="O24" i="1" s="1"/>
  <c r="M29" i="1"/>
  <c r="S30" i="1" s="1"/>
  <c r="M30" i="1" s="1"/>
  <c r="O30" i="1"/>
  <c r="T31" i="1" s="1"/>
  <c r="O31" i="1" s="1"/>
  <c r="M19" i="1" l="1"/>
  <c r="S20" i="1" s="1"/>
  <c r="M20" i="1" s="1"/>
  <c r="S21" i="1" s="1"/>
  <c r="S22" i="1"/>
  <c r="M22" i="1" s="1"/>
  <c r="S23" i="1" s="1"/>
  <c r="M23" i="1" s="1"/>
  <c r="S24" i="1" s="1"/>
  <c r="M24" i="1" s="1"/>
  <c r="S31" i="1"/>
  <c r="M31" i="1" s="1"/>
  <c r="O20" i="1"/>
  <c r="T21" i="1" s="1"/>
  <c r="B16" i="1" l="1"/>
  <c r="B17" i="1" s="1"/>
  <c r="B28" i="1"/>
  <c r="B15" i="1"/>
  <c r="B14" i="1"/>
  <c r="B24" i="1" s="1"/>
  <c r="O21" i="1"/>
  <c r="M21" i="1"/>
  <c r="B27" i="1" s="1"/>
  <c r="B20" i="1" l="1"/>
  <c r="B19" i="1"/>
  <c r="B23" i="1"/>
  <c r="B25" i="1" l="1"/>
  <c r="B26" i="1" s="1"/>
  <c r="B21" i="1"/>
  <c r="B22" i="1" s="1"/>
  <c r="W19" i="1" s="1"/>
  <c r="AD19" i="1" s="1"/>
  <c r="W20" i="1" l="1"/>
  <c r="AE20" i="1" s="1"/>
  <c r="Y19" i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AE19" i="1"/>
  <c r="W23" i="1"/>
  <c r="AF23" i="1" s="1"/>
  <c r="W27" i="1"/>
  <c r="AE27" i="1" s="1"/>
  <c r="AB19" i="1"/>
  <c r="W26" i="1"/>
  <c r="AA26" i="1" s="1"/>
  <c r="W17" i="1"/>
  <c r="Y17" i="1" s="1"/>
  <c r="W16" i="1"/>
  <c r="Y16" i="1" s="1"/>
  <c r="W25" i="1"/>
  <c r="AB25" i="1" s="1"/>
  <c r="W29" i="1"/>
  <c r="W28" i="1"/>
  <c r="AA28" i="1" s="1"/>
  <c r="AC19" i="1"/>
  <c r="W22" i="1"/>
  <c r="AA22" i="1" s="1"/>
  <c r="W21" i="1"/>
  <c r="AB21" i="1" s="1"/>
  <c r="W18" i="1"/>
  <c r="Y18" i="1" s="1"/>
  <c r="AA19" i="1"/>
  <c r="W15" i="1"/>
  <c r="AB15" i="1" s="1"/>
  <c r="Z19" i="1"/>
  <c r="AF19" i="1"/>
  <c r="W24" i="1"/>
  <c r="AF24" i="1" s="1"/>
  <c r="W14" i="1"/>
  <c r="AC14" i="1" s="1"/>
  <c r="AE23" i="1" l="1"/>
  <c r="AD23" i="1"/>
  <c r="AC20" i="1"/>
  <c r="AB20" i="1"/>
  <c r="AA20" i="1"/>
  <c r="Z20" i="1"/>
  <c r="AF20" i="1"/>
  <c r="AD20" i="1"/>
  <c r="AF29" i="1"/>
  <c r="AF18" i="1"/>
  <c r="AE18" i="1"/>
  <c r="AD26" i="1"/>
  <c r="AE26" i="1"/>
  <c r="AC26" i="1"/>
  <c r="AD29" i="1"/>
  <c r="AE29" i="1"/>
  <c r="AC29" i="1"/>
  <c r="AF17" i="1"/>
  <c r="AE17" i="1"/>
  <c r="AD17" i="1"/>
  <c r="AC17" i="1"/>
  <c r="AD27" i="1"/>
  <c r="AB29" i="1"/>
  <c r="AA27" i="1"/>
  <c r="AA15" i="1"/>
  <c r="AC25" i="1"/>
  <c r="AB16" i="1"/>
  <c r="AA24" i="1"/>
  <c r="AA16" i="1"/>
  <c r="Z24" i="1"/>
  <c r="Z25" i="1" s="1"/>
  <c r="Z26" i="1" s="1"/>
  <c r="Z27" i="1" s="1"/>
  <c r="Z28" i="1" s="1"/>
  <c r="Z29" i="1" s="1"/>
  <c r="Z16" i="1"/>
  <c r="AF26" i="1"/>
  <c r="AA29" i="1"/>
  <c r="AE24" i="1"/>
  <c r="AC22" i="1"/>
  <c r="AD24" i="1"/>
  <c r="AA25" i="1"/>
  <c r="AB26" i="1"/>
  <c r="AF28" i="1"/>
  <c r="AC24" i="1"/>
  <c r="AE25" i="1"/>
  <c r="AB24" i="1"/>
  <c r="AD25" i="1"/>
  <c r="AB17" i="1"/>
  <c r="AE28" i="1"/>
  <c r="AF25" i="1"/>
  <c r="AE14" i="1"/>
  <c r="AB22" i="1"/>
  <c r="Y14" i="1"/>
  <c r="AF14" i="1"/>
  <c r="AF16" i="1"/>
  <c r="AE16" i="1"/>
  <c r="AA17" i="1"/>
  <c r="AF22" i="1"/>
  <c r="AB14" i="1"/>
  <c r="AD16" i="1"/>
  <c r="Z17" i="1"/>
  <c r="AE22" i="1"/>
  <c r="AA14" i="1"/>
  <c r="AC16" i="1"/>
  <c r="AD22" i="1"/>
  <c r="Z14" i="1"/>
  <c r="AC23" i="1"/>
  <c r="AE21" i="1"/>
  <c r="AC18" i="1"/>
  <c r="Z15" i="1"/>
  <c r="AF21" i="1"/>
  <c r="AB23" i="1"/>
  <c r="AA23" i="1"/>
  <c r="AB18" i="1"/>
  <c r="AA18" i="1"/>
  <c r="AC15" i="1"/>
  <c r="Z18" i="1"/>
  <c r="AD28" i="1"/>
  <c r="AF15" i="1"/>
  <c r="AA21" i="1"/>
  <c r="AC28" i="1"/>
  <c r="Z21" i="1"/>
  <c r="AF27" i="1"/>
  <c r="AD18" i="1"/>
  <c r="AD21" i="1"/>
  <c r="Z23" i="1"/>
  <c r="AC21" i="1"/>
  <c r="AE15" i="1"/>
  <c r="AC27" i="1"/>
  <c r="AB28" i="1"/>
  <c r="AD14" i="1"/>
  <c r="AD15" i="1"/>
  <c r="AB27" i="1"/>
  <c r="Z22" i="1"/>
  <c r="Y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<sst xmlns="http://schemas.openxmlformats.org/spreadsheetml/2006/main" count="239" uniqueCount="89">
  <si>
    <t>月末?</t>
    <rPh sb="0" eb="2">
      <t>ゲツマツ</t>
    </rPh>
    <phoneticPr fontId="2"/>
  </si>
  <si>
    <t>誕生日</t>
    <rPh sb="0" eb="3">
      <t>タンジョウビ</t>
    </rPh>
    <phoneticPr fontId="2"/>
  </si>
  <si>
    <t>平均月給</t>
    <rPh sb="0" eb="2">
      <t>ヘイキン</t>
    </rPh>
    <rPh sb="2" eb="4">
      <t>ゲッキュウ</t>
    </rPh>
    <phoneticPr fontId="2"/>
  </si>
  <si>
    <t>1年以内未納月数</t>
    <rPh sb="1" eb="2">
      <t>ネン</t>
    </rPh>
    <rPh sb="2" eb="4">
      <t>イナイ</t>
    </rPh>
    <rPh sb="4" eb="6">
      <t>ミノウ</t>
    </rPh>
    <rPh sb="6" eb="8">
      <t>ゲツスウ</t>
    </rPh>
    <phoneticPr fontId="2"/>
  </si>
  <si>
    <t>平均賞与額</t>
    <rPh sb="0" eb="2">
      <t>ヘイキン</t>
    </rPh>
    <rPh sb="2" eb="4">
      <t>ショウヨ</t>
    </rPh>
    <rPh sb="4" eb="5">
      <t>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</si>
  <si>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</si>
  <si>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</si>
  <si>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</si>
  <si>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か月</t>
    <rPh sb="1" eb="2">
      <t>ゲツ</t>
    </rPh>
    <phoneticPr fontId="2"/>
  </si>
  <si>
    <t>万円</t>
    <rPh sb="0" eb="2">
      <t>マンエン</t>
    </rPh>
    <phoneticPr fontId="2"/>
  </si>
  <si>
    <t>回</t>
    <rPh sb="0" eb="1">
      <t>カイ</t>
    </rPh>
    <phoneticPr fontId="2"/>
  </si>
  <si>
    <t>合算対象期間</t>
    <rPh sb="0" eb="6">
      <t>ガッサンタイショウキカン</t>
    </rPh>
    <phoneticPr fontId="2"/>
  </si>
  <si>
    <t>退職日(or現在)</t>
    <rPh sb="0" eb="2">
      <t>タイショク</t>
    </rPh>
    <rPh sb="2" eb="3">
      <t>ヒ</t>
    </rPh>
    <rPh sb="6" eb="8">
      <t>ゲンザイ</t>
    </rPh>
    <phoneticPr fontId="2"/>
  </si>
  <si>
    <t>就労日</t>
    <rPh sb="0" eb="3">
      <t>シュウロウビ</t>
    </rPh>
    <phoneticPr fontId="2"/>
  </si>
  <si>
    <t>60歳の日</t>
    <phoneticPr fontId="2"/>
  </si>
  <si>
    <t>65歳の日</t>
    <phoneticPr fontId="2"/>
  </si>
  <si>
    <t>20歳の日</t>
    <rPh sb="2" eb="3">
      <t>サイ</t>
    </rPh>
    <rPh sb="4" eb="5">
      <t>ヒ</t>
    </rPh>
    <phoneticPr fontId="2"/>
  </si>
  <si>
    <t>(1=可能, 0=不可)</t>
    <rPh sb="3" eb="5">
      <t>カノウ</t>
    </rPh>
    <rPh sb="9" eb="11">
      <t>フカ</t>
    </rPh>
    <phoneticPr fontId="2"/>
  </si>
  <si>
    <t>才</t>
    <rPh sb="0" eb="1">
      <t>サイ</t>
    </rPh>
    <phoneticPr fontId="2"/>
  </si>
  <si>
    <t>日</t>
    <rPh sb="0" eb="1">
      <t>ニチ</t>
    </rPh>
    <phoneticPr fontId="2"/>
  </si>
  <si>
    <t>退職日(or現在)年齢</t>
    <rPh sb="9" eb="11">
      <t>ネンレイ</t>
    </rPh>
    <phoneticPr fontId="2"/>
  </si>
  <si>
    <t>(永久帰国で年金受給権ない人のみ)</t>
    <rPh sb="1" eb="5">
      <t>エイキュウキコク</t>
    </rPh>
    <rPh sb="6" eb="11">
      <t>ネンキンジュキュウケン</t>
    </rPh>
    <rPh sb="13" eb="14">
      <t>ヒト</t>
    </rPh>
    <phoneticPr fontId="2"/>
  </si>
  <si>
    <t>+配偶者加算(年齢別)</t>
    <rPh sb="7" eb="10">
      <t>ネンレイベツ</t>
    </rPh>
    <phoneticPr fontId="2"/>
  </si>
  <si>
    <t>年金計算基準日年齢</t>
    <rPh sb="0" eb="2">
      <t>ネンキン</t>
    </rPh>
    <rPh sb="2" eb="4">
      <t>ケイサン</t>
    </rPh>
    <rPh sb="4" eb="7">
      <t>キジュンビ</t>
    </rPh>
    <phoneticPr fontId="2"/>
  </si>
  <si>
    <t>年間</t>
    <rPh sb="0" eb="1">
      <t>ネン</t>
    </rPh>
    <rPh sb="1" eb="2">
      <t>カン</t>
    </rPh>
    <phoneticPr fontId="2"/>
  </si>
  <si>
    <t>月</t>
  </si>
  <si>
    <t>1号期間(最大)</t>
    <rPh sb="1" eb="4">
      <t>ゴウキカン</t>
    </rPh>
    <rPh sb="5" eb="7">
      <t>サイダイ</t>
    </rPh>
    <phoneticPr fontId="2"/>
  </si>
  <si>
    <t>退社後1号期間(計算日)</t>
    <rPh sb="0" eb="3">
      <t>タイシャゴ</t>
    </rPh>
    <rPh sb="8" eb="10">
      <t>ケイサン</t>
    </rPh>
    <rPh sb="10" eb="11">
      <t>ビ</t>
    </rPh>
    <phoneticPr fontId="2"/>
  </si>
  <si>
    <t>1号期間(計算日)</t>
    <rPh sb="1" eb="4">
      <t>ゴウキカン</t>
    </rPh>
    <rPh sb="5" eb="8">
      <t>ケイサンビ</t>
    </rPh>
    <phoneticPr fontId="2"/>
  </si>
  <si>
    <t>最初入国日</t>
    <rPh sb="0" eb="2">
      <t>サイショ</t>
    </rPh>
    <rPh sb="2" eb="5">
      <t>ニュウコクビ</t>
    </rPh>
    <phoneticPr fontId="2"/>
  </si>
  <si>
    <t>学生免除期間(既)</t>
    <rPh sb="0" eb="2">
      <t>ガクセイ</t>
    </rPh>
    <rPh sb="2" eb="4">
      <t>メンジョ</t>
    </rPh>
    <rPh sb="4" eb="6">
      <t>キカン</t>
    </rPh>
    <rPh sb="7" eb="8">
      <t>キ</t>
    </rPh>
    <phoneticPr fontId="2"/>
  </si>
  <si>
    <t>障碍者免除期間(既)</t>
    <rPh sb="0" eb="3">
      <t>ショウガイシャ</t>
    </rPh>
    <rPh sb="3" eb="5">
      <t>メンジョ</t>
    </rPh>
    <rPh sb="5" eb="7">
      <t>キカン</t>
    </rPh>
    <phoneticPr fontId="2"/>
  </si>
  <si>
    <t>全額免除期間(既)</t>
    <rPh sb="0" eb="2">
      <t>ゼンガク</t>
    </rPh>
    <rPh sb="2" eb="4">
      <t>メンジョ</t>
    </rPh>
    <rPh sb="4" eb="6">
      <t>キカン</t>
    </rPh>
    <phoneticPr fontId="2"/>
  </si>
  <si>
    <t>3/4免除期間(既)</t>
    <rPh sb="3" eb="7">
      <t>メンジョキカン</t>
    </rPh>
    <phoneticPr fontId="2"/>
  </si>
  <si>
    <t>1/2免除期間(既)</t>
    <rPh sb="3" eb="7">
      <t>メンジョキカン</t>
    </rPh>
    <phoneticPr fontId="2"/>
  </si>
  <si>
    <t>1/4免除期間(既)</t>
    <rPh sb="3" eb="7">
      <t>メンジョキカン</t>
    </rPh>
    <phoneticPr fontId="2"/>
  </si>
  <si>
    <t>障碍者免除期間(予定)</t>
    <rPh sb="0" eb="3">
      <t>ショウガイシャ</t>
    </rPh>
    <rPh sb="3" eb="5">
      <t>メンジョ</t>
    </rPh>
    <rPh sb="5" eb="7">
      <t>キカン</t>
    </rPh>
    <rPh sb="8" eb="10">
      <t>ヨテイ</t>
    </rPh>
    <phoneticPr fontId="2"/>
  </si>
  <si>
    <t>全額免除期間(予定)</t>
    <rPh sb="0" eb="2">
      <t>ゼンガク</t>
    </rPh>
    <rPh sb="2" eb="4">
      <t>メンジョ</t>
    </rPh>
    <rPh sb="4" eb="6">
      <t>キカン</t>
    </rPh>
    <phoneticPr fontId="2"/>
  </si>
  <si>
    <t>3/4免除期間(予定)</t>
    <rPh sb="3" eb="7">
      <t>メンジョキカン</t>
    </rPh>
    <phoneticPr fontId="2"/>
  </si>
  <si>
    <t>1/2免除期間(予定)</t>
    <rPh sb="3" eb="7">
      <t>メンジョキカン</t>
    </rPh>
    <phoneticPr fontId="2"/>
  </si>
  <si>
    <t>1/4免除期間(予定)</t>
    <rPh sb="3" eb="7">
      <t>メンジョキカン</t>
    </rPh>
    <phoneticPr fontId="2"/>
  </si>
  <si>
    <t>入社前免除期間</t>
    <rPh sb="0" eb="2">
      <t>ニュウシャ</t>
    </rPh>
    <rPh sb="2" eb="3">
      <t>マエ</t>
    </rPh>
    <rPh sb="3" eb="7">
      <t>メンジョキカン</t>
    </rPh>
    <phoneticPr fontId="2"/>
  </si>
  <si>
    <t>退社後免除期間</t>
    <rPh sb="0" eb="3">
      <t>タイシャゴ</t>
    </rPh>
    <rPh sb="3" eb="7">
      <t>メンジョキカン</t>
    </rPh>
    <phoneticPr fontId="2"/>
  </si>
  <si>
    <t>退社後年齢＋免除</t>
    <rPh sb="0" eb="3">
      <t>タイシャゴ</t>
    </rPh>
    <rPh sb="3" eb="5">
      <t>ネンレイ</t>
    </rPh>
    <rPh sb="6" eb="8">
      <t>メンジョ</t>
    </rPh>
    <phoneticPr fontId="2"/>
  </si>
  <si>
    <t>入社前期間</t>
    <rPh sb="0" eb="3">
      <t>ニュウシャマエ</t>
    </rPh>
    <rPh sb="3" eb="5">
      <t>キカン</t>
    </rPh>
    <phoneticPr fontId="2"/>
  </si>
  <si>
    <t>65歳の老齢基礎年金(計算日)</t>
    <rPh sb="4" eb="10">
      <t>ロウレイキソネンキン</t>
    </rPh>
    <rPh sb="11" eb="14">
      <t>ケイサンビ</t>
    </rPh>
    <phoneticPr fontId="2"/>
  </si>
  <si>
    <t>65歳の老齢厚生年金(計算日)</t>
    <rPh sb="4" eb="10">
      <t>ロウレイコウセイネンキン</t>
    </rPh>
    <phoneticPr fontId="2"/>
  </si>
  <si>
    <t>65歳の老齢基礎年金(最大)</t>
    <rPh sb="4" eb="10">
      <t>ロウレイキソネンキン</t>
    </rPh>
    <rPh sb="11" eb="13">
      <t>サイダイ</t>
    </rPh>
    <phoneticPr fontId="2"/>
  </si>
  <si>
    <t>65歳の老齢厚生年金(最大)</t>
    <rPh sb="4" eb="10">
      <t>ロウレイコウセイネンキン</t>
    </rPh>
    <phoneticPr fontId="2"/>
  </si>
  <si>
    <t>65歳の老齢年金合計(最大)</t>
    <rPh sb="4" eb="8">
      <t>ロウレイネンキン</t>
    </rPh>
    <rPh sb="8" eb="10">
      <t>ゴウケイ</t>
    </rPh>
    <phoneticPr fontId="2"/>
  </si>
  <si>
    <t>65歳の老齢年金合計(月)(最大)</t>
    <rPh sb="4" eb="8">
      <t>ロウレイネンキン</t>
    </rPh>
    <rPh sb="8" eb="10">
      <t>ゴウケイ</t>
    </rPh>
    <rPh sb="11" eb="12">
      <t>ツキ</t>
    </rPh>
    <phoneticPr fontId="2"/>
  </si>
  <si>
    <t>65歳の老齢年金合計(計算日)</t>
    <rPh sb="4" eb="8">
      <t>ロウレイネンキン</t>
    </rPh>
    <rPh sb="8" eb="10">
      <t>ゴウケイ</t>
    </rPh>
    <phoneticPr fontId="2"/>
  </si>
  <si>
    <t>65歳の老齢年金合計(月)(計算日)</t>
    <rPh sb="4" eb="8">
      <t>ロウレイネンキン</t>
    </rPh>
    <rPh sb="8" eb="10">
      <t>ゴウケイ</t>
    </rPh>
    <rPh sb="11" eb="12">
      <t>ツキ</t>
    </rPh>
    <phoneticPr fontId="2"/>
  </si>
  <si>
    <t>受領開始年齢</t>
    <rPh sb="0" eb="2">
      <t>ジュリョウ</t>
    </rPh>
    <rPh sb="2" eb="6">
      <t>カイシネンレイ</t>
    </rPh>
    <phoneticPr fontId="2"/>
  </si>
  <si>
    <t>月額</t>
    <rPh sb="0" eb="2">
      <t>ゲツガク</t>
    </rPh>
    <phoneticPr fontId="2"/>
  </si>
  <si>
    <t>現在サラリーマンは「1」</t>
    <rPh sb="0" eb="2">
      <t>ゲンザイ</t>
    </rPh>
    <phoneticPr fontId="2"/>
  </si>
  <si>
    <t>障害年金受給中の場合は「1」</t>
    <rPh sb="0" eb="4">
      <t>ショウガイネンキン</t>
    </rPh>
    <rPh sb="4" eb="6">
      <t>ジュキュウ</t>
    </rPh>
    <rPh sb="6" eb="7">
      <t>チュウ</t>
    </rPh>
    <rPh sb="8" eb="10">
      <t>バアイ</t>
    </rPh>
    <phoneticPr fontId="2"/>
  </si>
  <si>
    <t>永住者or日本人は「1」</t>
    <rPh sb="0" eb="3">
      <t>エイジュウシャ</t>
    </rPh>
    <rPh sb="5" eb="8">
      <t>ニホンジン</t>
    </rPh>
    <phoneticPr fontId="2"/>
  </si>
  <si>
    <t>現状の年金を計算したい日</t>
    <rPh sb="0" eb="2">
      <t>ゲンジョウ</t>
    </rPh>
    <rPh sb="3" eb="5">
      <t>ネンキン</t>
    </rPh>
    <rPh sb="6" eb="8">
      <t>ケイサン</t>
    </rPh>
    <rPh sb="11" eb="12">
      <t>ヒ</t>
    </rPh>
    <phoneticPr fontId="2"/>
  </si>
  <si>
    <t>才までの累計額</t>
    <rPh sb="0" eb="1">
      <t>サイ</t>
    </rPh>
    <rPh sb="4" eb="6">
      <t>ルイケイ</t>
    </rPh>
    <rPh sb="6" eb="7">
      <t>ガク</t>
    </rPh>
    <phoneticPr fontId="2"/>
  </si>
  <si>
    <t>万円</t>
    <rPh sb="0" eb="2">
      <t>マンエン</t>
    </rPh>
    <phoneticPr fontId="2"/>
  </si>
  <si>
    <t>入社前</t>
    <rPh sb="0" eb="3">
      <t>ニュウシャマエ</t>
    </rPh>
    <phoneticPr fontId="2"/>
  </si>
  <si>
    <t>退社後の予定</t>
    <rPh sb="0" eb="3">
      <t>タイシャゴ</t>
    </rPh>
    <rPh sb="4" eb="6">
      <t>ヨテイ</t>
    </rPh>
    <phoneticPr fontId="2"/>
  </si>
  <si>
    <t>入社前未納期間</t>
    <rPh sb="0" eb="2">
      <t>ニュウシャ</t>
    </rPh>
    <rPh sb="2" eb="3">
      <t>マエ</t>
    </rPh>
    <rPh sb="3" eb="5">
      <t>ミノウ</t>
    </rPh>
    <rPh sb="5" eb="7">
      <t>キカン</t>
    </rPh>
    <phoneticPr fontId="2"/>
  </si>
  <si>
    <t>退社後未納年月数</t>
    <rPh sb="0" eb="3">
      <t>タイシャゴ</t>
    </rPh>
    <rPh sb="3" eb="5">
      <t>ミノウ</t>
    </rPh>
    <rPh sb="5" eb="6">
      <t>ネン</t>
    </rPh>
    <rPh sb="6" eb="7">
      <t>ゲツ</t>
    </rPh>
    <rPh sb="7" eb="8">
      <t>スウ</t>
    </rPh>
    <phoneticPr fontId="2"/>
  </si>
  <si>
    <t>納付期間(計算日)</t>
    <rPh sb="0" eb="2">
      <t>ノウフ</t>
    </rPh>
    <rPh sb="2" eb="4">
      <t>キカン</t>
    </rPh>
    <phoneticPr fontId="2"/>
  </si>
  <si>
    <t>納付+免除期間(計算日)</t>
    <rPh sb="0" eb="2">
      <t>ノウフ</t>
    </rPh>
    <rPh sb="3" eb="5">
      <t>メンジョ</t>
    </rPh>
    <rPh sb="5" eb="7">
      <t>キカン</t>
    </rPh>
    <phoneticPr fontId="2"/>
  </si>
  <si>
    <t>納付+免除+合算期間(計算日)</t>
    <rPh sb="0" eb="2">
      <t>ノウフ</t>
    </rPh>
    <rPh sb="3" eb="5">
      <t>メンジョ</t>
    </rPh>
    <rPh sb="6" eb="8">
      <t>ガッサン</t>
    </rPh>
    <rPh sb="8" eb="10">
      <t>キカン</t>
    </rPh>
    <phoneticPr fontId="2"/>
  </si>
  <si>
    <t>脱退一時金 (60歳)</t>
    <rPh sb="0" eb="5">
      <t>ダッタイイチジキン</t>
    </rPh>
    <rPh sb="9" eb="10">
      <t>トシ</t>
    </rPh>
    <phoneticPr fontId="2"/>
  </si>
  <si>
    <t>脱退一時金(計算日)</t>
    <rPh sb="0" eb="5">
      <t>ダッタイイチジキン</t>
    </rPh>
    <rPh sb="6" eb="9">
      <t>ケイサンビ</t>
    </rPh>
    <phoneticPr fontId="2"/>
  </si>
  <si>
    <t>2号期間</t>
    <rPh sb="1" eb="2">
      <t>ゴウ</t>
    </rPh>
    <rPh sb="2" eb="4">
      <t>キカン</t>
    </rPh>
    <phoneticPr fontId="2"/>
  </si>
  <si>
    <t>70歳の日</t>
  </si>
  <si>
    <t>厚生年金被保険者期間</t>
    <rPh sb="0" eb="2">
      <t>コウセイ</t>
    </rPh>
    <rPh sb="2" eb="4">
      <t>ネンキン</t>
    </rPh>
    <rPh sb="4" eb="8">
      <t>ヒホケンシャ</t>
    </rPh>
    <rPh sb="8" eb="10">
      <t>キカン</t>
    </rPh>
    <phoneticPr fontId="2"/>
  </si>
  <si>
    <t>入社前1,3号期間</t>
    <rPh sb="0" eb="3">
      <t>ニュウシャマエ</t>
    </rPh>
    <rPh sb="6" eb="7">
      <t>ゴウ</t>
    </rPh>
    <rPh sb="7" eb="9">
      <t>キカン</t>
    </rPh>
    <phoneticPr fontId="2"/>
  </si>
  <si>
    <t>退社後1,3号期間</t>
    <rPh sb="0" eb="3">
      <t>タイシャゴ</t>
    </rPh>
    <phoneticPr fontId="2"/>
  </si>
  <si>
    <t>1,2,3号期間(最大)</t>
    <rPh sb="5" eb="6">
      <t>ゴウ</t>
    </rPh>
    <rPh sb="6" eb="8">
      <t>キカン</t>
    </rPh>
    <rPh sb="9" eb="11">
      <t>サイダイ</t>
    </rPh>
    <phoneticPr fontId="2"/>
  </si>
  <si>
    <t>1,2,3号+免除期間(最大)</t>
    <rPh sb="7" eb="9">
      <t>メンジョ</t>
    </rPh>
    <rPh sb="9" eb="11">
      <t>キカン</t>
    </rPh>
    <rPh sb="12" eb="14">
      <t>サイダイ</t>
    </rPh>
    <phoneticPr fontId="2"/>
  </si>
  <si>
    <t>1,2,3号+免除+合算期間(最大)</t>
    <rPh sb="5" eb="6">
      <t>ゴウ</t>
    </rPh>
    <rPh sb="7" eb="9">
      <t>メンジョ</t>
    </rPh>
    <rPh sb="10" eb="12">
      <t>ガッサン</t>
    </rPh>
    <rPh sb="12" eb="14">
      <t>キカン</t>
    </rPh>
    <rPh sb="15" eb="17">
      <t>サイダイ</t>
    </rPh>
    <phoneticPr fontId="2"/>
  </si>
  <si>
    <t>1,3号+厚生年金被保険者期間(最大)</t>
    <rPh sb="5" eb="7">
      <t>コウセイ</t>
    </rPh>
    <rPh sb="7" eb="9">
      <t>ネンキン</t>
    </rPh>
    <rPh sb="9" eb="13">
      <t>ヒホケンシャ</t>
    </rPh>
    <rPh sb="13" eb="15">
      <t>キカン</t>
    </rPh>
    <rPh sb="16" eb="18">
      <t>サイダイ</t>
    </rPh>
    <phoneticPr fontId="2"/>
  </si>
  <si>
    <t>1,3号+厚生年金被保険者+免除期間(最大)</t>
    <rPh sb="5" eb="7">
      <t>コウセイ</t>
    </rPh>
    <rPh sb="7" eb="9">
      <t>ネンキン</t>
    </rPh>
    <rPh sb="9" eb="13">
      <t>ヒホケンシャ</t>
    </rPh>
    <rPh sb="14" eb="16">
      <t>メンジョ</t>
    </rPh>
    <rPh sb="16" eb="18">
      <t>キカン</t>
    </rPh>
    <rPh sb="19" eb="21">
      <t>サイダイ</t>
    </rPh>
    <phoneticPr fontId="2"/>
  </si>
  <si>
    <t>1,3号+厚生年金被保険者+免除+合算期間(最大)</t>
    <rPh sb="5" eb="7">
      <t>コウセイ</t>
    </rPh>
    <rPh sb="7" eb="9">
      <t>ネンキン</t>
    </rPh>
    <rPh sb="9" eb="13">
      <t>ヒホケンシャ</t>
    </rPh>
    <rPh sb="14" eb="16">
      <t>メンジョ</t>
    </rPh>
    <rPh sb="17" eb="19">
      <t>ガッサン</t>
    </rPh>
    <rPh sb="19" eb="21">
      <t>キカン</t>
    </rPh>
    <rPh sb="22" eb="24">
      <t>サイダイ</t>
    </rPh>
    <phoneticPr fontId="2"/>
  </si>
  <si>
    <t>遺族年金可否(計算日)</t>
    <rPh sb="0" eb="4">
      <t>イゾクネンキン</t>
    </rPh>
    <rPh sb="4" eb="6">
      <t>カヒ</t>
    </rPh>
    <phoneticPr fontId="2"/>
  </si>
  <si>
    <t>計算日</t>
    <rPh sb="0" eb="2">
      <t>ケイサン</t>
    </rPh>
    <rPh sb="2" eb="3">
      <t>ビ</t>
    </rPh>
    <phoneticPr fontId="2"/>
  </si>
  <si>
    <t>障害基礎年金可否(計算日)</t>
    <rPh sb="0" eb="2">
      <t>ショウガイ</t>
    </rPh>
    <rPh sb="2" eb="4">
      <t>キソ</t>
    </rPh>
    <rPh sb="4" eb="6">
      <t>ネンキン</t>
    </rPh>
    <rPh sb="6" eb="8">
      <t>カヒ</t>
    </rPh>
    <phoneticPr fontId="2"/>
  </si>
  <si>
    <t>傷害厚生年金会費(計算日)</t>
    <rPh sb="0" eb="2">
      <t>ショウガイ</t>
    </rPh>
    <rPh sb="2" eb="4">
      <t>コウセイ</t>
    </rPh>
    <rPh sb="4" eb="6">
      <t>ネンキン</t>
    </rPh>
    <rPh sb="6" eb="8">
      <t>カイヒ</t>
    </rPh>
    <rPh sb="9" eb="11">
      <t>ケイサン</t>
    </rPh>
    <rPh sb="11" eb="12">
      <t>ビ</t>
    </rPh>
    <phoneticPr fontId="2"/>
  </si>
  <si>
    <t>老齢年金可否(計算日)</t>
    <rPh sb="0" eb="2">
      <t>ロウレイ</t>
    </rPh>
    <rPh sb="2" eb="4">
      <t>ネンキン</t>
    </rPh>
    <rPh sb="4" eb="6">
      <t>カヒ</t>
    </rPh>
    <rPh sb="7" eb="9">
      <t>ケイサン</t>
    </rPh>
    <rPh sb="9" eb="10">
      <t>ビ</t>
    </rPh>
    <phoneticPr fontId="2"/>
  </si>
  <si>
    <t>誕生日の前日</t>
    <rPh sb="0" eb="3">
      <t>タンジョウビ</t>
    </rPh>
    <rPh sb="4" eb="6">
      <t>ゼンジツ</t>
    </rPh>
    <phoneticPr fontId="2"/>
  </si>
  <si>
    <t>退職日の翌日</t>
    <rPh sb="0" eb="3">
      <t>タイショクビ</t>
    </rPh>
    <rPh sb="4" eb="6">
      <t>ヨクジツ</t>
    </rPh>
    <phoneticPr fontId="2"/>
  </si>
  <si>
    <t>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</si>
</sst>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algun Gothic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0" xfId="0" applyFont="1" applyFill="1">
      <alignment vertical="center"/>
    </xf>
    <xf numFmtId="176" fontId="4" fillId="3" borderId="0" xfId="1" applyNumberFormat="1" applyFont="1" applyFill="1">
      <alignment vertical="center"/>
    </xf>
    <xf numFmtId="176" fontId="4" fillId="3" borderId="0" xfId="0" applyNumberFormat="1" applyFont="1" applyFill="1">
      <alignment vertical="center"/>
    </xf>
    <xf numFmtId="0" fontId="3" fillId="3" borderId="0" xfId="0" applyFont="1" applyFill="1">
      <alignment vertical="center"/>
    </xf>
    <xf numFmtId="176" fontId="3" fillId="3" borderId="0" xfId="0" applyNumberFormat="1" applyFont="1" applyFill="1">
      <alignment vertical="center"/>
    </xf>
    <xf numFmtId="176" fontId="3" fillId="3" borderId="0" xfId="1" applyNumberFormat="1" applyFont="1" applyFill="1">
      <alignment vertical="center"/>
    </xf>
    <xf numFmtId="177" fontId="3" fillId="3" borderId="0" xfId="0" applyNumberFormat="1" applyFont="1" applyFill="1">
      <alignment vertical="center"/>
    </xf>
    <xf numFmtId="38" fontId="3" fillId="0" borderId="0" xfId="1" applyFont="1">
      <alignment vertical="center"/>
    </xf>
    <xf numFmtId="0" fontId="3" fillId="0" borderId="2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2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5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D54F1-E25D-4706-B099-6D89D590E2B1}">
  <dimension ref="A1:AG31"/>
  <sheetViews>
    <sheetView tabSelected="1" topLeftCell="A4" workbookViewId="0">
      <selection activeCell="W19" sqref="W19"/>
    </sheetView>
  </sheetViews>
  <sheetFormatPr defaultColWidth="8.69921875" defaultRowHeight="15" x14ac:dyDescent="0.45"/>
  <cols>
    <col min="1" max="1" width="28.69921875" style="1" customWidth="1"/>
    <col min="2" max="2" width="7.296875" style="1" customWidth="1"/>
    <col min="3" max="3" width="5.296875" style="1" customWidth="1"/>
    <col min="4" max="4" width="3.69921875" style="1" bestFit="1" customWidth="1"/>
    <col min="5" max="5" width="5" style="1" bestFit="1" customWidth="1"/>
    <col min="6" max="6" width="3.69921875" style="1" bestFit="1" customWidth="1"/>
    <col min="7" max="7" width="6.8984375" style="1" customWidth="1"/>
    <col min="8" max="8" width="5.69921875" style="1" hidden="1" customWidth="1"/>
    <col min="9" max="10" width="2.5" style="1" hidden="1" customWidth="1"/>
    <col min="11" max="11" width="3.19921875" style="1" hidden="1" customWidth="1"/>
    <col min="12" max="12" width="44" style="1" hidden="1" customWidth="1"/>
    <col min="13" max="13" width="6.796875" style="1" hidden="1" customWidth="1"/>
    <col min="14" max="14" width="5" style="1" hidden="1" customWidth="1"/>
    <col min="15" max="15" width="4.19921875" style="1" hidden="1" customWidth="1"/>
    <col min="16" max="16" width="4.5" style="1" hidden="1" customWidth="1"/>
    <col min="17" max="17" width="3.69921875" style="1" hidden="1" customWidth="1"/>
    <col min="18" max="18" width="3" style="1" hidden="1" customWidth="1"/>
    <col min="19" max="19" width="6.3984375" style="1" hidden="1" customWidth="1"/>
    <col min="20" max="20" width="6" style="1" hidden="1" customWidth="1"/>
    <col min="21" max="21" width="5.8984375" style="1" customWidth="1"/>
    <col min="22" max="22" width="4.796875" style="1" customWidth="1"/>
    <col min="23" max="23" width="6.796875" style="1" customWidth="1"/>
    <col min="24" max="24" width="5" style="1" bestFit="1" customWidth="1"/>
    <col min="25" max="25" width="4.8984375" style="1" bestFit="1" customWidth="1"/>
    <col min="26" max="26" width="6.8984375" style="1" customWidth="1"/>
    <col min="27" max="32" width="6.69921875" style="1" bestFit="1" customWidth="1"/>
    <col min="33" max="33" width="13.296875" style="1" bestFit="1" customWidth="1"/>
    <col min="34" max="16384" width="8.69921875" style="1"/>
  </cols>
  <sheetData>
    <row r="1" spans="1:33" x14ac:dyDescent="0.45">
      <c r="A1" s="1" t="s">
        <v>1</v>
      </c>
      <c r="B1" s="2">
        <v>2000</v>
      </c>
      <c r="C1" s="1" t="s">
        <v>5</v>
      </c>
      <c r="D1" s="2">
        <v>1</v>
      </c>
      <c r="E1" s="1" t="s">
        <v>6</v>
      </c>
      <c r="F1" s="2">
        <v>1</v>
      </c>
      <c r="G1" s="1" t="s">
        <v>7</v>
      </c>
      <c r="L1" s="1" t="s">
        <v>86</v>
      </c>
      <c r="M1" s="1">
        <f>IF(F1=1,B1-1,B1)</f>
        <v>1999</v>
      </c>
      <c r="N1" s="1" t="s">
        <v>5</v>
      </c>
      <c r="O1" s="1">
        <f>IF(F1=1,D1-1,D1)</f>
        <v>0</v>
      </c>
      <c r="P1" s="1" t="s">
        <v>6</v>
      </c>
      <c r="Q1" s="1" cm="1">
        <f t="array" ref="Q1">IF(F1=1,_xlfn.IFS(D1=1,31,D1=2,31,D1=3,IF(MOD(B1,4)=0,29,28),D1=4,31,D1=5,30,D1=6,31,D1=7,30,D1=8,31,D1=9,31,D1=10,30,D1=11,31,D1=12,30),F1-1)</f>
        <v>31</v>
      </c>
      <c r="R1" s="1" t="s">
        <v>7</v>
      </c>
      <c r="V1" s="23" t="s">
        <v>61</v>
      </c>
      <c r="W1" s="15" t="s">
        <v>30</v>
      </c>
      <c r="X1" s="15"/>
      <c r="Y1" s="15"/>
      <c r="Z1" s="15"/>
      <c r="AA1" s="16"/>
      <c r="AB1" s="15" t="s">
        <v>5</v>
      </c>
      <c r="AC1" s="16"/>
      <c r="AD1" s="17" t="s">
        <v>25</v>
      </c>
    </row>
    <row r="2" spans="1:33" x14ac:dyDescent="0.45">
      <c r="A2" s="1" t="s">
        <v>29</v>
      </c>
      <c r="B2" s="2">
        <v>2030</v>
      </c>
      <c r="C2" s="1" t="s">
        <v>5</v>
      </c>
      <c r="D2" s="2">
        <v>1</v>
      </c>
      <c r="E2" s="1" t="s">
        <v>6</v>
      </c>
      <c r="F2" s="2">
        <v>11</v>
      </c>
      <c r="G2" s="1" t="s">
        <v>7</v>
      </c>
      <c r="L2" s="1" t="s">
        <v>16</v>
      </c>
      <c r="M2" s="1">
        <f>IF(F1=1,IF(D1=1,B1+19,B1+20),B1+20)</f>
        <v>2019</v>
      </c>
      <c r="N2" s="1" t="s">
        <v>5</v>
      </c>
      <c r="O2" s="1">
        <f>IF(IF(F1=1,D1-1,D1)=0,12,IF(F1=1,D1-1,D1))</f>
        <v>12</v>
      </c>
      <c r="P2" s="1" t="s">
        <v>6</v>
      </c>
      <c r="Q2" s="1" cm="1">
        <f t="array" ref="Q2">IF(F1=1,_xlfn.IFS(D1=1,31,D1=2,31,D1=3,IF(MOD(B1,4)=0,29,28),D1=4,31,D1=5,30,D1=6,31,D1=7,30,D1=8,31,D1=9,31,D1=10,30,D1=11,31,D1=12,30),F1-1)</f>
        <v>31</v>
      </c>
      <c r="R2" s="1" t="s">
        <v>7</v>
      </c>
      <c r="V2" s="24"/>
      <c r="W2" s="1" t="s">
        <v>31</v>
      </c>
      <c r="AA2" s="2"/>
      <c r="AB2" s="1" t="s">
        <v>5</v>
      </c>
      <c r="AC2" s="2"/>
      <c r="AD2" s="18" t="s">
        <v>25</v>
      </c>
    </row>
    <row r="3" spans="1:33" ht="17.399999999999999" x14ac:dyDescent="0.45">
      <c r="A3" s="1" t="s">
        <v>13</v>
      </c>
      <c r="B3" s="22">
        <f>B2</f>
        <v>2030</v>
      </c>
      <c r="C3" s="1" t="s">
        <v>5</v>
      </c>
      <c r="D3" s="2">
        <f>D2</f>
        <v>1</v>
      </c>
      <c r="E3" s="1" t="s">
        <v>6</v>
      </c>
      <c r="F3" s="2">
        <v>12</v>
      </c>
      <c r="G3" s="1" t="s">
        <v>7</v>
      </c>
      <c r="L3" s="1" t="s">
        <v>14</v>
      </c>
      <c r="M3" s="1">
        <f>M2+40</f>
        <v>2059</v>
      </c>
      <c r="N3" s="1" t="s">
        <v>5</v>
      </c>
      <c r="O3" s="1">
        <f>O2</f>
        <v>12</v>
      </c>
      <c r="P3" s="1" t="s">
        <v>6</v>
      </c>
      <c r="Q3" s="1">
        <f>Q2</f>
        <v>31</v>
      </c>
      <c r="R3" s="1" t="s">
        <v>7</v>
      </c>
      <c r="V3" s="24"/>
      <c r="W3" s="1" t="s">
        <v>32</v>
      </c>
      <c r="AA3" s="2"/>
      <c r="AB3" s="1" t="s">
        <v>5</v>
      </c>
      <c r="AC3" s="2"/>
      <c r="AD3" s="18" t="s">
        <v>25</v>
      </c>
    </row>
    <row r="4" spans="1:33" x14ac:dyDescent="0.45">
      <c r="A4" s="1" t="s">
        <v>12</v>
      </c>
      <c r="B4" s="2">
        <f>B3+30</f>
        <v>2060</v>
      </c>
      <c r="C4" s="1" t="s">
        <v>5</v>
      </c>
      <c r="D4" s="2">
        <f>D3</f>
        <v>1</v>
      </c>
      <c r="E4" s="1" t="s">
        <v>6</v>
      </c>
      <c r="F4" s="2">
        <v>30</v>
      </c>
      <c r="G4" s="1" t="s">
        <v>7</v>
      </c>
      <c r="H4" s="1" t="s">
        <v>0</v>
      </c>
      <c r="I4" s="1" cm="1">
        <f t="array" ref="I4">IF(MOD(B4,4)=0,_xlfn.IFS(D4=1,IF(F4=31,1,0),D4=2,IF(F4=29,1,0),D4=3,IF(F4=31,1,0),D4=4,IF(F4=30,1,0),D4=5,IF(F4=31,1,0),D4=6,IF(F4=30,1,0),D4=7,IF(F4=31,1,0),D4=8,IF(F4=31,1,0),D4=9,IF(F4=30,1,0),D4=10,IF(F4=31,1,0),D4=11,IF(F4=30,1,0),D4=12,IF(F4=31,1,0)),_xlfn.IFS(D4=1,IF(F4=31,1,0),D4=2,IF(F4=28,1,0),D4=3,IF(F4=31,1,0),D4=4,IF(F4=30,1,0),D4=5,IF(F4=31,1,0),D4=6,IF(F4=30,1,0),D4=7,IF(F4=31,1,0),D4=8,IF(F4=31,1,0),D4=9,IF(F4=30,1,0),D4=10,IF(F4=31,1,0),D4=11,IF(F4=30,1,0),D4=12,IF(F4=31,1,0)))</f>
        <v>0</v>
      </c>
      <c r="L4" s="1" t="s">
        <v>15</v>
      </c>
      <c r="M4" s="1">
        <f>M3+5</f>
        <v>2064</v>
      </c>
      <c r="N4" s="1" t="s">
        <v>5</v>
      </c>
      <c r="O4" s="1">
        <f>O3</f>
        <v>12</v>
      </c>
      <c r="P4" s="1" t="s">
        <v>6</v>
      </c>
      <c r="Q4" s="1">
        <f>Q3</f>
        <v>31</v>
      </c>
      <c r="R4" s="1" t="s">
        <v>7</v>
      </c>
      <c r="V4" s="24"/>
      <c r="W4" s="1" t="s">
        <v>33</v>
      </c>
      <c r="AA4" s="2"/>
      <c r="AB4" s="1" t="s">
        <v>5</v>
      </c>
      <c r="AC4" s="2"/>
      <c r="AD4" s="18" t="s">
        <v>25</v>
      </c>
    </row>
    <row r="5" spans="1:33" x14ac:dyDescent="0.45">
      <c r="A5" s="1" t="s">
        <v>56</v>
      </c>
      <c r="B5" s="2">
        <v>0</v>
      </c>
      <c r="D5" s="1" t="s">
        <v>88</v>
      </c>
      <c r="L5" s="1" t="s">
        <v>71</v>
      </c>
      <c r="M5" s="1">
        <f>M4+5</f>
        <v>2069</v>
      </c>
      <c r="N5" s="1" t="s">
        <v>5</v>
      </c>
      <c r="O5" s="1">
        <f>O4</f>
        <v>12</v>
      </c>
      <c r="P5" s="1" t="s">
        <v>6</v>
      </c>
      <c r="Q5" s="1">
        <f>Q4</f>
        <v>31</v>
      </c>
      <c r="R5" s="1" t="s">
        <v>7</v>
      </c>
      <c r="V5" s="24"/>
      <c r="W5" s="1" t="s">
        <v>34</v>
      </c>
      <c r="AA5" s="2"/>
      <c r="AB5" s="1" t="s">
        <v>5</v>
      </c>
      <c r="AC5" s="2"/>
      <c r="AD5" s="18" t="s">
        <v>25</v>
      </c>
    </row>
    <row r="6" spans="1:33" x14ac:dyDescent="0.45">
      <c r="A6" s="1" t="s">
        <v>55</v>
      </c>
      <c r="B6" s="2">
        <v>1</v>
      </c>
      <c r="H6" s="1" t="s">
        <v>82</v>
      </c>
      <c r="I6" s="1">
        <f>IF(B13&gt;M11,0,IF(D13&gt;O11,0,IF(F13&gt;Q11,0,1)))</f>
        <v>1</v>
      </c>
      <c r="L6" s="1" t="s">
        <v>11</v>
      </c>
      <c r="M6" s="1">
        <f>IF(IF(D2-O2&gt;=0,B2-M2,B2-M2-1)&lt;0,0,IF(D2-O2&gt;=0,B2-M2,B2-M2-1))</f>
        <v>10</v>
      </c>
      <c r="N6" s="1" t="s">
        <v>5</v>
      </c>
      <c r="O6" s="1">
        <f>IF(B2&gt;M2,IF(D2&gt;=O2,D2-O2,D2+12-O2),IF(B2=M2,IF(D2&gt;=O2,D2-O2,0),0))</f>
        <v>1</v>
      </c>
      <c r="P6" s="1" t="s">
        <v>8</v>
      </c>
      <c r="V6" s="25"/>
      <c r="W6" s="19" t="s">
        <v>35</v>
      </c>
      <c r="X6" s="19"/>
      <c r="Y6" s="19"/>
      <c r="Z6" s="19"/>
      <c r="AA6" s="20"/>
      <c r="AB6" s="19" t="s">
        <v>5</v>
      </c>
      <c r="AC6" s="20"/>
      <c r="AD6" s="21" t="s">
        <v>25</v>
      </c>
    </row>
    <row r="7" spans="1:33" x14ac:dyDescent="0.45">
      <c r="A7" s="1" t="s">
        <v>57</v>
      </c>
      <c r="B7" s="2">
        <v>0</v>
      </c>
      <c r="L7" s="1" t="s">
        <v>41</v>
      </c>
      <c r="M7" s="1">
        <f>S7+INT(SUM(AC1:AC6)/12)</f>
        <v>0</v>
      </c>
      <c r="N7" s="1" t="s">
        <v>5</v>
      </c>
      <c r="O7" s="1">
        <f>IF(T7&gt;=12,T7-INT(SUM(AC1:AC6)/12)*12,T7)</f>
        <v>0</v>
      </c>
      <c r="P7" s="1" t="s">
        <v>8</v>
      </c>
      <c r="S7" s="1">
        <f>SUM(AA1:AA6)</f>
        <v>0</v>
      </c>
      <c r="T7" s="1">
        <f>SUM(AC1:AC6)</f>
        <v>0</v>
      </c>
      <c r="V7" s="23" t="s">
        <v>62</v>
      </c>
      <c r="W7" s="15" t="s">
        <v>36</v>
      </c>
      <c r="X7" s="15"/>
      <c r="Y7" s="15"/>
      <c r="Z7" s="15"/>
      <c r="AA7" s="16"/>
      <c r="AB7" s="15" t="s">
        <v>5</v>
      </c>
      <c r="AC7" s="16"/>
      <c r="AD7" s="17" t="s">
        <v>25</v>
      </c>
    </row>
    <row r="8" spans="1:33" x14ac:dyDescent="0.45">
      <c r="A8" s="1" t="s">
        <v>2</v>
      </c>
      <c r="B8" s="2">
        <v>40</v>
      </c>
      <c r="C8" s="1" t="s">
        <v>9</v>
      </c>
      <c r="L8" s="1" t="s">
        <v>44</v>
      </c>
      <c r="M8" s="1">
        <f>IF(U9&lt;0,IF(T8-1&lt;0,S8-1,S8),IF(T8&lt;0,S8-1,S8))</f>
        <v>0</v>
      </c>
      <c r="N8" s="1" t="s">
        <v>5</v>
      </c>
      <c r="O8" s="1">
        <f>IF(U9&lt;0,IF(T8-1&lt;0,T8-1+12,T8-1),IF(T8&lt;0,T8+12,T8))</f>
        <v>0</v>
      </c>
      <c r="P8" s="1" t="s">
        <v>8</v>
      </c>
      <c r="S8" s="1">
        <f>B3-B2</f>
        <v>0</v>
      </c>
      <c r="T8" s="1">
        <f>D3-D2</f>
        <v>0</v>
      </c>
      <c r="V8" s="24"/>
      <c r="W8" s="1" t="s">
        <v>37</v>
      </c>
      <c r="AA8" s="2"/>
      <c r="AB8" s="1" t="s">
        <v>5</v>
      </c>
      <c r="AC8" s="2"/>
      <c r="AD8" s="18" t="s">
        <v>25</v>
      </c>
    </row>
    <row r="9" spans="1:33" x14ac:dyDescent="0.45">
      <c r="A9" s="1" t="s">
        <v>4</v>
      </c>
      <c r="B9" s="2">
        <v>0</v>
      </c>
      <c r="C9" s="1" t="s">
        <v>9</v>
      </c>
      <c r="E9" s="1" t="s">
        <v>24</v>
      </c>
      <c r="F9" s="2">
        <v>2</v>
      </c>
      <c r="G9" s="1" t="s">
        <v>10</v>
      </c>
      <c r="L9" s="1" t="s">
        <v>73</v>
      </c>
      <c r="M9" s="1">
        <f>IF(U10&lt;0,IF(T9-1&lt;0,S9-1,S9),IF(T9&lt;0,S9-1,S9))</f>
        <v>0</v>
      </c>
      <c r="N9" s="1" t="s">
        <v>5</v>
      </c>
      <c r="O9" s="1">
        <f>IF(U10&lt;0,IF(T9-1&lt;0,T9-1+12,T9-1),IF(T9&lt;0,T9+12,T9))</f>
        <v>0</v>
      </c>
      <c r="P9" s="1" t="s">
        <v>8</v>
      </c>
      <c r="S9" s="1">
        <f>M8-M7-B10</f>
        <v>0</v>
      </c>
      <c r="T9" s="1">
        <f>O8-O7-D10</f>
        <v>0</v>
      </c>
      <c r="V9" s="24"/>
      <c r="W9" s="1" t="s">
        <v>38</v>
      </c>
      <c r="AA9" s="2"/>
      <c r="AB9" s="1" t="s">
        <v>5</v>
      </c>
      <c r="AC9" s="2"/>
      <c r="AD9" s="18" t="s">
        <v>25</v>
      </c>
    </row>
    <row r="10" spans="1:33" x14ac:dyDescent="0.45">
      <c r="A10" s="1" t="s">
        <v>63</v>
      </c>
      <c r="B10" s="2">
        <v>0</v>
      </c>
      <c r="C10" s="1" t="s">
        <v>5</v>
      </c>
      <c r="D10" s="2">
        <v>0</v>
      </c>
      <c r="E10" s="1" t="s">
        <v>8</v>
      </c>
      <c r="L10" s="1" t="s">
        <v>20</v>
      </c>
      <c r="M10" s="1">
        <f>IF(F1=1,IF(I4=1,IF(D4+1-D1&gt;=0,B4-B1,B4-B1-1),IF(D4-D1&gt;=0,B4-B1,B4-B1-1)),IF(F4+1&gt;F1,IF(D4-D1&gt;=0,B4-B1,B4-B1-1),IF(D4+1-D1&gt;=0,B4-B1,B4-B1-1)))</f>
        <v>60</v>
      </c>
      <c r="N10" s="1" t="s">
        <v>18</v>
      </c>
      <c r="O10" s="1">
        <f>IF(IF(D4&gt;=D1,IF(F1=1,IF(I4=1,D4-D1+1,D4-D1),IF(F4+1-F1&gt;=0,D4-D1,D4-D1-1)),IF(F1=1,IF(I4=1,D4-D1+13,D4-D1+12),IF(F4+1-F1&gt;=0,D4-D1+12,D4-D1-1+12)))=12,0,IF(D4&gt;=D1,IF(F1=1,IF(I4=1,D4-D1+1,D4-D1),IF(F4+1-F1&gt;=0,D4-D1,D4-D1-1)),IF(F1=1,IF(I4=1,D4-D1+13,D4-D1+12),IF(F4+1-F1&gt;=0,D4-D1+12,D4-D1-1+12))))</f>
        <v>0</v>
      </c>
      <c r="P10" s="1" t="s">
        <v>8</v>
      </c>
      <c r="Q10" s="1" cm="1">
        <f t="array" ref="Q10">IF(F4&gt;=Q1,F4-Q1,_xlfn.IFS(D1=1,31,D1=2,31,D1=3,IF(MOD(B1,4)=0,29,28),D1=4,31,D1=5,30,D1=6,31,D1=7,30,D1=8,31,D1=9,31,D1=10,30,D1=11,31,D1=12,30)+F4-Q1)</f>
        <v>30</v>
      </c>
      <c r="R10" s="1" t="s">
        <v>19</v>
      </c>
      <c r="V10" s="24"/>
      <c r="W10" s="1" t="s">
        <v>39</v>
      </c>
      <c r="AA10" s="2"/>
      <c r="AB10" s="1" t="s">
        <v>5</v>
      </c>
      <c r="AC10" s="2"/>
      <c r="AD10" s="18" t="s">
        <v>25</v>
      </c>
    </row>
    <row r="11" spans="1:33" x14ac:dyDescent="0.45">
      <c r="A11" s="1" t="s">
        <v>64</v>
      </c>
      <c r="B11" s="2">
        <v>0</v>
      </c>
      <c r="C11" s="1" t="s">
        <v>5</v>
      </c>
      <c r="D11" s="2">
        <v>0</v>
      </c>
      <c r="E11" s="1" t="s">
        <v>8</v>
      </c>
      <c r="L11" s="1" t="s">
        <v>87</v>
      </c>
      <c r="M11" s="1" cm="1">
        <f t="array" ref="M11">IF(F4=_xlfn.IFS(D1=12,31,D1=1,31,D1=2,IF(MOD(B1,4)=0,29,28),D1=3,31,D1=4,30,D1=5,31,D1=6,30,D1=7,31,D1=8,31,D1=9,30,D1=10,31,D1=11,30),IF(D4=12,B4+1,B4),B4)</f>
        <v>2060</v>
      </c>
      <c r="N11" s="1" t="s">
        <v>5</v>
      </c>
      <c r="O11" s="1" cm="1">
        <f t="array" ref="O11">IF(F4=_xlfn.IFS(D4=12,31,D4=1,31,D4=2,IF(MOD(B4,4)=0,29,28),D4=3,31,D4=4,30,D4=5,31,D4=6,30,D4=7,31,D4=8,31,D4=9,30,D4=10,31,D4=11,30),IF(D4+1=13,1,D4+1),D4)</f>
        <v>1</v>
      </c>
      <c r="P11" s="1" t="s">
        <v>6</v>
      </c>
      <c r="Q11" s="1" cm="1">
        <f t="array" ref="Q11">IF(F4=_xlfn.IFS(D4=12,31,D4=1,31,D4=2,IF(MOD(B4,4)=0,29,28),D4=3,31,D4=4,30,D4=5,31,D4=6,30,D4=7,31,D4=8,31,D4=9,30,D4=10,31,D4=11,30),1,F4+1)</f>
        <v>31</v>
      </c>
      <c r="R11" s="1" t="s">
        <v>7</v>
      </c>
      <c r="V11" s="25"/>
      <c r="W11" s="19" t="s">
        <v>40</v>
      </c>
      <c r="X11" s="19"/>
      <c r="Y11" s="19"/>
      <c r="Z11" s="19"/>
      <c r="AA11" s="20"/>
      <c r="AB11" s="19" t="s">
        <v>5</v>
      </c>
      <c r="AC11" s="20"/>
      <c r="AD11" s="21" t="s">
        <v>25</v>
      </c>
    </row>
    <row r="12" spans="1:33" x14ac:dyDescent="0.45">
      <c r="A12" s="1" t="s">
        <v>3</v>
      </c>
      <c r="D12" s="2">
        <v>0</v>
      </c>
      <c r="E12" s="1" t="s">
        <v>8</v>
      </c>
      <c r="L12" s="1" t="s">
        <v>72</v>
      </c>
      <c r="M12" s="1">
        <f>IF(T12&lt;0,S12-1,S12)</f>
        <v>30</v>
      </c>
      <c r="N12" s="1" t="s">
        <v>5</v>
      </c>
      <c r="O12" s="1">
        <f>IF(T12&lt;0,T12+12,T12)</f>
        <v>0</v>
      </c>
      <c r="P12" s="1" t="s">
        <v>8</v>
      </c>
      <c r="S12" s="1">
        <f>IF(M10&gt;=70,M5-B3,M11-B3)</f>
        <v>30</v>
      </c>
      <c r="T12" s="1">
        <f>IF(M10&gt;=70,O5-D3,O11-D3)</f>
        <v>0</v>
      </c>
    </row>
    <row r="13" spans="1:33" x14ac:dyDescent="0.45">
      <c r="A13" s="1" t="s">
        <v>58</v>
      </c>
      <c r="B13" s="2">
        <f>(IF(I4=1,IF(D4=12,B4+1,B4),B4))*1</f>
        <v>2060</v>
      </c>
      <c r="C13" s="1" t="s">
        <v>5</v>
      </c>
      <c r="D13" s="2">
        <f>IF(I4=1,IF(D4=12,1,D4+1),D4)</f>
        <v>1</v>
      </c>
      <c r="E13" s="1" t="s">
        <v>6</v>
      </c>
      <c r="F13" s="2">
        <f>IF(I4=1,1,F4+1)</f>
        <v>31</v>
      </c>
      <c r="G13" s="1" t="s">
        <v>7</v>
      </c>
      <c r="L13" s="1" t="s">
        <v>70</v>
      </c>
      <c r="M13" s="1">
        <f>IF(T13&lt;0,S13-1,S13)</f>
        <v>30</v>
      </c>
      <c r="N13" s="1" t="s">
        <v>5</v>
      </c>
      <c r="O13" s="1">
        <f>IF(T13&lt;0,T13+12,T13)</f>
        <v>0</v>
      </c>
      <c r="P13" s="1" t="s">
        <v>8</v>
      </c>
      <c r="S13" s="1">
        <f>IF(M10&gt;=65,M4-B3,M11-B3)</f>
        <v>30</v>
      </c>
      <c r="T13" s="1">
        <f>IF(M10&gt;=65,O4-D3,O11-D3)</f>
        <v>0</v>
      </c>
      <c r="V13" s="1" t="s">
        <v>53</v>
      </c>
      <c r="X13" s="1" t="s">
        <v>54</v>
      </c>
      <c r="Y13" s="1">
        <v>65</v>
      </c>
      <c r="Z13" s="1">
        <v>70</v>
      </c>
      <c r="AA13" s="1">
        <v>75</v>
      </c>
      <c r="AB13" s="1">
        <v>80</v>
      </c>
      <c r="AC13" s="1">
        <v>85</v>
      </c>
      <c r="AD13" s="1">
        <v>90</v>
      </c>
      <c r="AE13" s="1">
        <v>95</v>
      </c>
      <c r="AF13" s="1">
        <v>100</v>
      </c>
      <c r="AG13" s="1" t="s">
        <v>59</v>
      </c>
    </row>
    <row r="14" spans="1:33" x14ac:dyDescent="0.45">
      <c r="A14" s="3" t="s">
        <v>85</v>
      </c>
      <c r="B14" s="4">
        <f>IF(M31&gt;=10,1,0)</f>
        <v>1</v>
      </c>
      <c r="C14" s="1" t="s">
        <v>17</v>
      </c>
      <c r="L14" s="1" t="s">
        <v>42</v>
      </c>
      <c r="M14" s="1">
        <f>S14+INT(SUM(AC7:AC11)/12)</f>
        <v>0</v>
      </c>
      <c r="N14" s="1" t="s">
        <v>5</v>
      </c>
      <c r="O14" s="1">
        <f>IF(T14&gt;=12,T14-INT(SUM(AC7:AC11)/12)*12,T14)</f>
        <v>0</v>
      </c>
      <c r="P14" s="1" t="s">
        <v>8</v>
      </c>
      <c r="S14" s="1">
        <f>SUM(AA7:AA11)</f>
        <v>0</v>
      </c>
      <c r="T14" s="1">
        <f>SUM(AC7:AC11)</f>
        <v>0</v>
      </c>
      <c r="V14" s="10">
        <v>60</v>
      </c>
      <c r="W14" s="13">
        <f t="shared" ref="W14:W17" si="0">$W$19*(1-0.004*12*(65-V14))</f>
        <v>8.8919999999999995</v>
      </c>
      <c r="X14" s="10" t="s">
        <v>9</v>
      </c>
      <c r="Y14" s="14">
        <f>$W14*(Y$13-$V14)*12</f>
        <v>533.52</v>
      </c>
      <c r="Z14" s="14">
        <f t="shared" ref="Z14:AF29" si="1">$W14*(Z$13-$V14)*12</f>
        <v>1067.04</v>
      </c>
      <c r="AA14" s="14">
        <f t="shared" si="1"/>
        <v>1600.56</v>
      </c>
      <c r="AB14" s="14">
        <f t="shared" si="1"/>
        <v>2134.08</v>
      </c>
      <c r="AC14" s="14">
        <f t="shared" si="1"/>
        <v>2667.6</v>
      </c>
      <c r="AD14" s="14">
        <f t="shared" si="1"/>
        <v>3201.12</v>
      </c>
      <c r="AE14" s="14">
        <f t="shared" si="1"/>
        <v>3734.6399999999994</v>
      </c>
      <c r="AF14" s="14">
        <f t="shared" si="1"/>
        <v>4268.16</v>
      </c>
      <c r="AG14" s="1" t="s">
        <v>60</v>
      </c>
    </row>
    <row r="15" spans="1:33" x14ac:dyDescent="0.45">
      <c r="A15" s="3" t="s">
        <v>83</v>
      </c>
      <c r="B15" s="3">
        <f>IF(B5=1,1,IF(M26&lt;20,1,IF(M26&lt;65,IF((M31*12+O31)*3&gt;=((M26-20)*12+O26)*2,1,0))))</f>
        <v>1</v>
      </c>
      <c r="C15" s="1" t="s">
        <v>17</v>
      </c>
      <c r="L15" s="1" t="s">
        <v>43</v>
      </c>
      <c r="M15" s="1">
        <f>IF(T15&gt;=12,S15+INT(T15/12),S15)</f>
        <v>60</v>
      </c>
      <c r="N15" s="1" t="s">
        <v>5</v>
      </c>
      <c r="O15" s="1">
        <f>IF(T15&gt;=12,T15-INT(T15/12)*12,T15)</f>
        <v>0</v>
      </c>
      <c r="P15" s="1" t="s">
        <v>8</v>
      </c>
      <c r="S15" s="1">
        <f>M10+S14</f>
        <v>60</v>
      </c>
      <c r="T15" s="1">
        <f>O10+T14</f>
        <v>0</v>
      </c>
      <c r="V15" s="10">
        <v>61</v>
      </c>
      <c r="W15" s="13">
        <f t="shared" si="0"/>
        <v>9.4535999999999998</v>
      </c>
      <c r="X15" s="10" t="s">
        <v>9</v>
      </c>
      <c r="Y15" s="14">
        <f t="shared" ref="Y15:Y19" si="2">$W15*(Y$13-$V15)*12</f>
        <v>453.77279999999996</v>
      </c>
      <c r="Z15" s="14">
        <f t="shared" si="1"/>
        <v>1020.9887999999999</v>
      </c>
      <c r="AA15" s="14">
        <f t="shared" si="1"/>
        <v>1588.2048</v>
      </c>
      <c r="AB15" s="14">
        <f t="shared" si="1"/>
        <v>2155.4207999999999</v>
      </c>
      <c r="AC15" s="14">
        <f t="shared" si="1"/>
        <v>2722.6367999999998</v>
      </c>
      <c r="AD15" s="14">
        <f t="shared" si="1"/>
        <v>3289.8528000000001</v>
      </c>
      <c r="AE15" s="14">
        <f t="shared" si="1"/>
        <v>3857.0688</v>
      </c>
      <c r="AF15" s="14">
        <f t="shared" si="1"/>
        <v>4424.2848000000004</v>
      </c>
      <c r="AG15" s="1" t="s">
        <v>60</v>
      </c>
    </row>
    <row r="16" spans="1:33" x14ac:dyDescent="0.45">
      <c r="A16" s="3" t="s">
        <v>84</v>
      </c>
      <c r="B16" s="3">
        <f>IF(B5=1,1,IF(M26&lt;20,1,IF(I6=0,0,IF(M26&lt;65,IF((M31*12+O31)*3&gt;=((M26-20)*12+O26)*2,1,0)))))</f>
        <v>1</v>
      </c>
      <c r="C16" s="1" t="s">
        <v>17</v>
      </c>
      <c r="L16" s="1" t="s">
        <v>74</v>
      </c>
      <c r="M16" s="1">
        <f>IF(T16&lt;0,S16-1,S16)</f>
        <v>0</v>
      </c>
      <c r="N16" s="1" t="s">
        <v>5</v>
      </c>
      <c r="O16" s="1">
        <f>IF(U18&lt;0,IF(T16-1&lt;0,T16-1+12,T16-1),IF(T16&lt;0,T16+12,T16))</f>
        <v>0</v>
      </c>
      <c r="P16" s="1" t="s">
        <v>8</v>
      </c>
      <c r="S16" s="1">
        <f>IF(M15&gt;=60,0,M3-M11-M14-B11)</f>
        <v>0</v>
      </c>
      <c r="T16" s="1">
        <f>IF(M15&gt;=60,0,O3-O11-O14-D11)</f>
        <v>0</v>
      </c>
      <c r="V16" s="10">
        <v>62</v>
      </c>
      <c r="W16" s="13">
        <f t="shared" si="0"/>
        <v>10.015199999999998</v>
      </c>
      <c r="X16" s="10" t="s">
        <v>9</v>
      </c>
      <c r="Y16" s="14">
        <f t="shared" si="2"/>
        <v>360.54719999999992</v>
      </c>
      <c r="Z16" s="14">
        <f t="shared" si="1"/>
        <v>961.45919999999978</v>
      </c>
      <c r="AA16" s="14">
        <f t="shared" si="1"/>
        <v>1562.3711999999996</v>
      </c>
      <c r="AB16" s="14">
        <f t="shared" si="1"/>
        <v>2163.2831999999994</v>
      </c>
      <c r="AC16" s="14">
        <f t="shared" si="1"/>
        <v>2764.1951999999992</v>
      </c>
      <c r="AD16" s="14">
        <f t="shared" si="1"/>
        <v>3365.1071999999995</v>
      </c>
      <c r="AE16" s="14">
        <f t="shared" si="1"/>
        <v>3966.0191999999993</v>
      </c>
      <c r="AF16" s="14">
        <f t="shared" si="1"/>
        <v>4566.9311999999991</v>
      </c>
      <c r="AG16" s="1" t="s">
        <v>60</v>
      </c>
    </row>
    <row r="17" spans="1:33" x14ac:dyDescent="0.45">
      <c r="A17" s="3" t="s">
        <v>81</v>
      </c>
      <c r="B17" s="3">
        <f>IF(B16=1,1,IF(B5=1,1,IF(M26&lt;20,1,IF(B6=1,1,IF(M26&lt;65,IF((M31*12+O31)*3&gt;=((M26-20)*12+O26)*2,1,0))))))</f>
        <v>1</v>
      </c>
      <c r="C17" s="1" t="s">
        <v>17</v>
      </c>
      <c r="H17" s="1" t="s">
        <v>0</v>
      </c>
      <c r="I17" s="1" cm="1">
        <f t="array" ref="I17">IF(MOD(B13,4)=0,_xlfn.IFS(D13=1,IF(F13=31,1,0),D13=2,IF(F13=29,1,0),D13=3,IF(F13=31,1,0),D13=4,IF(F13=30,1,0),D13=5,IF(F13=31,1,0),D13=6,IF(F13=30,1,0),D13=7,IF(F13=31,1,0),D13=8,IF(F13=31,1,0),D13=9,IF(F13=30,1,0),D13=10,IF(F13=31,1,0),D13=11,IF(F13=30,1,0),D13=12,IF(F13=31,1,0)),_xlfn.IFS(D13=1,IF(F13=31,1,0),D13=2,IF(F13=28,1,0),D13=3,IF(F13=31,1,0),D13=4,IF(F13=30,1,0),D13=5,IF(F13=31,1,0),D13=6,IF(F13=30,1,0),D13=7,IF(F13=31,1,0),D13=8,IF(F13=31,1,0),D13=9,IF(F13=30,1,0),D13=10,IF(F13=31,1,0),D13=11,IF(F13=30,1,0),D13=12,IF(F13=31,1,0)))</f>
        <v>1</v>
      </c>
      <c r="V17" s="10">
        <v>63</v>
      </c>
      <c r="W17" s="13">
        <f t="shared" si="0"/>
        <v>10.5768</v>
      </c>
      <c r="X17" s="10" t="s">
        <v>9</v>
      </c>
      <c r="Y17" s="14">
        <f t="shared" si="2"/>
        <v>253.84320000000002</v>
      </c>
      <c r="Z17" s="14">
        <f t="shared" si="1"/>
        <v>888.45119999999997</v>
      </c>
      <c r="AA17" s="14">
        <f t="shared" si="1"/>
        <v>1523.0592000000001</v>
      </c>
      <c r="AB17" s="14">
        <f t="shared" si="1"/>
        <v>2157.6671999999999</v>
      </c>
      <c r="AC17" s="14">
        <f t="shared" si="1"/>
        <v>2792.2752</v>
      </c>
      <c r="AD17" s="14">
        <f t="shared" si="1"/>
        <v>3426.8832000000002</v>
      </c>
      <c r="AE17" s="14">
        <f t="shared" si="1"/>
        <v>4061.4912000000004</v>
      </c>
      <c r="AF17" s="14">
        <f t="shared" si="1"/>
        <v>4696.0992000000006</v>
      </c>
      <c r="AG17" s="1" t="s">
        <v>60</v>
      </c>
    </row>
    <row r="18" spans="1:33" x14ac:dyDescent="0.45">
      <c r="L18" s="1" t="s">
        <v>26</v>
      </c>
      <c r="M18" s="1">
        <f>IF(O9+O16&gt;12,M9+M16+1,M9+M16)</f>
        <v>0</v>
      </c>
      <c r="N18" s="1" t="s">
        <v>5</v>
      </c>
      <c r="O18" s="1">
        <f>IF(O9+O16&gt;12,O9+O16-12,O9+O16)</f>
        <v>0</v>
      </c>
      <c r="P18" s="1" t="s">
        <v>8</v>
      </c>
      <c r="V18" s="10">
        <v>64</v>
      </c>
      <c r="W18" s="13">
        <f>$W$19*(1-0.004*12*(65-V18))</f>
        <v>11.138399999999999</v>
      </c>
      <c r="X18" s="10" t="s">
        <v>9</v>
      </c>
      <c r="Y18" s="14">
        <f t="shared" si="2"/>
        <v>133.66079999999999</v>
      </c>
      <c r="Z18" s="14">
        <f t="shared" si="1"/>
        <v>801.96479999999997</v>
      </c>
      <c r="AA18" s="14">
        <f t="shared" si="1"/>
        <v>1470.2687999999998</v>
      </c>
      <c r="AB18" s="14">
        <f t="shared" si="1"/>
        <v>2138.5727999999999</v>
      </c>
      <c r="AC18" s="14">
        <f t="shared" si="1"/>
        <v>2806.8768</v>
      </c>
      <c r="AD18" s="14">
        <f t="shared" si="1"/>
        <v>3475.1807999999996</v>
      </c>
      <c r="AE18" s="14">
        <f t="shared" si="1"/>
        <v>4143.4848000000002</v>
      </c>
      <c r="AF18" s="14">
        <f t="shared" si="1"/>
        <v>4811.7888000000003</v>
      </c>
      <c r="AG18" s="1" t="s">
        <v>60</v>
      </c>
    </row>
    <row r="19" spans="1:33" x14ac:dyDescent="0.45">
      <c r="A19" s="7" t="s">
        <v>47</v>
      </c>
      <c r="B19" s="8">
        <f>IF(M24&gt;=10,ROUND((B14*IF(S13+M18+AA2/2+AA3/2+AA4*5/8+AA5*3/4+AA6*7/8+INT((T13+O18+AC2/2+AC3/2+AC4*5/8+AC5*3/4+AC6*7/8)/12)&gt;=40,480,(S13+M18+AA2/2+AA3/2+AA4*5/8+AA5*3/4+AA6*7/8)*12+T13+O18+AC2/2+AC3/2+AC4*5/8+AC5*3/4+AC6*7/8)*816000/(40*12))/10000,1),0)</f>
        <v>61.2</v>
      </c>
      <c r="C19" s="7" t="s">
        <v>9</v>
      </c>
      <c r="L19" s="1" t="s">
        <v>78</v>
      </c>
      <c r="M19" s="1">
        <f>IF(T19&gt;=12,S19+INT(T19/12),S19)</f>
        <v>30</v>
      </c>
      <c r="N19" s="1" t="s">
        <v>5</v>
      </c>
      <c r="O19" s="1">
        <f>IF(T19&gt;=12,T19-INT(T19/12)*12,T19)</f>
        <v>0</v>
      </c>
      <c r="P19" s="1" t="s">
        <v>8</v>
      </c>
      <c r="S19" s="1">
        <f>M12+M18</f>
        <v>30</v>
      </c>
      <c r="T19" s="1">
        <f>O18+O12</f>
        <v>0</v>
      </c>
      <c r="V19" s="10">
        <v>65</v>
      </c>
      <c r="W19" s="13">
        <f>B22</f>
        <v>11.7</v>
      </c>
      <c r="X19" s="10" t="s">
        <v>9</v>
      </c>
      <c r="Y19" s="14">
        <f t="shared" si="2"/>
        <v>0</v>
      </c>
      <c r="Z19" s="14">
        <f t="shared" si="1"/>
        <v>702</v>
      </c>
      <c r="AA19" s="14">
        <f t="shared" si="1"/>
        <v>1404</v>
      </c>
      <c r="AB19" s="14">
        <f t="shared" si="1"/>
        <v>2106</v>
      </c>
      <c r="AC19" s="14">
        <f t="shared" si="1"/>
        <v>2808</v>
      </c>
      <c r="AD19" s="14">
        <f t="shared" si="1"/>
        <v>3510</v>
      </c>
      <c r="AE19" s="14">
        <f t="shared" si="1"/>
        <v>4212</v>
      </c>
      <c r="AF19" s="14">
        <f t="shared" si="1"/>
        <v>4914</v>
      </c>
      <c r="AG19" s="1" t="s">
        <v>60</v>
      </c>
    </row>
    <row r="20" spans="1:33" x14ac:dyDescent="0.45">
      <c r="A20" s="7" t="s">
        <v>48</v>
      </c>
      <c r="B20" s="8">
        <f>IF(M24&gt;=10,ROUND((B14*(S13*12+T13)*IF(B8&gt;=63.5,65,B8)*54.91+B14*IF(B9&gt;=150,150,B9)*F9*(S13+INT(T13/6))*54.91)/10000,1),0)</f>
        <v>79.099999999999994</v>
      </c>
      <c r="C20" s="7" t="s">
        <v>9</v>
      </c>
      <c r="D20" s="5" t="s">
        <v>22</v>
      </c>
      <c r="E20" s="5"/>
      <c r="F20" s="5"/>
      <c r="L20" s="1" t="s">
        <v>79</v>
      </c>
      <c r="M20" s="1">
        <f>IF(T20&gt;=12,S20+INT(T20/12),S20)</f>
        <v>30</v>
      </c>
      <c r="N20" s="1" t="s">
        <v>5</v>
      </c>
      <c r="O20" s="1">
        <f>IF(T20&gt;=12,T20-INT(T20/12)*12,T20)</f>
        <v>0</v>
      </c>
      <c r="P20" s="1" t="s">
        <v>8</v>
      </c>
      <c r="S20" s="1">
        <f>M19+M7+M14</f>
        <v>30</v>
      </c>
      <c r="T20" s="1">
        <f>O19+O7+O14</f>
        <v>0</v>
      </c>
      <c r="V20" s="10">
        <v>66</v>
      </c>
      <c r="W20" s="13">
        <f>$W$19*(1+0.007*12*(V20-65))</f>
        <v>12.6828</v>
      </c>
      <c r="X20" s="10" t="s">
        <v>9</v>
      </c>
      <c r="Y20" s="14">
        <f>Y19</f>
        <v>0</v>
      </c>
      <c r="Z20" s="14">
        <f t="shared" si="1"/>
        <v>608.77440000000001</v>
      </c>
      <c r="AA20" s="14">
        <f t="shared" si="1"/>
        <v>1369.7424000000001</v>
      </c>
      <c r="AB20" s="14">
        <f t="shared" si="1"/>
        <v>2130.7103999999999</v>
      </c>
      <c r="AC20" s="14">
        <f t="shared" si="1"/>
        <v>2891.6784000000002</v>
      </c>
      <c r="AD20" s="14">
        <f t="shared" si="1"/>
        <v>3652.6464000000001</v>
      </c>
      <c r="AE20" s="14">
        <f t="shared" si="1"/>
        <v>4413.6144000000004</v>
      </c>
      <c r="AF20" s="14">
        <f t="shared" si="1"/>
        <v>5174.5823999999993</v>
      </c>
      <c r="AG20" s="1" t="s">
        <v>60</v>
      </c>
    </row>
    <row r="21" spans="1:33" x14ac:dyDescent="0.45">
      <c r="A21" s="7" t="s">
        <v>49</v>
      </c>
      <c r="B21" s="8">
        <f>B19+B20</f>
        <v>140.30000000000001</v>
      </c>
      <c r="C21" s="7" t="s">
        <v>9</v>
      </c>
      <c r="D21" s="5" t="s">
        <v>22</v>
      </c>
      <c r="E21" s="5"/>
      <c r="F21" s="5"/>
      <c r="L21" s="1" t="s">
        <v>80</v>
      </c>
      <c r="M21" s="1">
        <f>IF(T21&gt;=12,S21+INT(T21/12),S21)</f>
        <v>40</v>
      </c>
      <c r="N21" s="1" t="s">
        <v>5</v>
      </c>
      <c r="O21" s="1">
        <f>IF(T21&gt;=12,T21-INT(T21/12)*12,T21)</f>
        <v>1</v>
      </c>
      <c r="P21" s="1" t="s">
        <v>8</v>
      </c>
      <c r="S21" s="1">
        <f>M20+M6</f>
        <v>40</v>
      </c>
      <c r="T21" s="1">
        <f>O20+O6</f>
        <v>1</v>
      </c>
      <c r="V21" s="10">
        <v>67</v>
      </c>
      <c r="W21" s="13">
        <f t="shared" ref="W21:W29" si="3">$W$19*(1+0.007*12*(V21-65))</f>
        <v>13.665599999999998</v>
      </c>
      <c r="X21" s="10" t="s">
        <v>9</v>
      </c>
      <c r="Y21" s="14">
        <f t="shared" ref="Y21:Z29" si="4">Y20</f>
        <v>0</v>
      </c>
      <c r="Z21" s="14">
        <f t="shared" si="1"/>
        <v>491.96159999999992</v>
      </c>
      <c r="AA21" s="14">
        <f t="shared" si="1"/>
        <v>1311.8975999999998</v>
      </c>
      <c r="AB21" s="14">
        <f t="shared" si="1"/>
        <v>2131.8335999999995</v>
      </c>
      <c r="AC21" s="14">
        <f t="shared" si="1"/>
        <v>2951.7695999999996</v>
      </c>
      <c r="AD21" s="14">
        <f t="shared" si="1"/>
        <v>3771.7055999999993</v>
      </c>
      <c r="AE21" s="14">
        <f t="shared" si="1"/>
        <v>4591.641599999999</v>
      </c>
      <c r="AF21" s="14">
        <f t="shared" si="1"/>
        <v>5411.5775999999987</v>
      </c>
      <c r="AG21" s="1" t="s">
        <v>60</v>
      </c>
    </row>
    <row r="22" spans="1:33" x14ac:dyDescent="0.45">
      <c r="A22" s="7" t="s">
        <v>50</v>
      </c>
      <c r="B22" s="9">
        <f>ROUND(B21/12,1)</f>
        <v>11.7</v>
      </c>
      <c r="C22" s="7" t="s">
        <v>9</v>
      </c>
      <c r="L22" s="1" t="s">
        <v>75</v>
      </c>
      <c r="M22" s="1">
        <f t="shared" ref="M22:M24" si="5">IF(T22&gt;=12,S22+INT(T22/12),S22)</f>
        <v>30</v>
      </c>
      <c r="N22" s="1" t="s">
        <v>5</v>
      </c>
      <c r="O22" s="1">
        <f t="shared" ref="O22:O24" si="6">IF(T22&gt;=12,T22-INT(T22/12)*12,T22)</f>
        <v>0</v>
      </c>
      <c r="P22" s="1" t="s">
        <v>8</v>
      </c>
      <c r="S22" s="1">
        <f>M13+M18</f>
        <v>30</v>
      </c>
      <c r="T22" s="1">
        <f>O18+O13</f>
        <v>0</v>
      </c>
      <c r="V22" s="10">
        <v>68</v>
      </c>
      <c r="W22" s="13">
        <f t="shared" si="3"/>
        <v>14.648399999999999</v>
      </c>
      <c r="X22" s="10" t="s">
        <v>9</v>
      </c>
      <c r="Y22" s="14">
        <f t="shared" si="4"/>
        <v>0</v>
      </c>
      <c r="Z22" s="14">
        <f t="shared" si="1"/>
        <v>351.5616</v>
      </c>
      <c r="AA22" s="14">
        <f t="shared" si="1"/>
        <v>1230.4656</v>
      </c>
      <c r="AB22" s="14">
        <f t="shared" si="1"/>
        <v>2109.3696</v>
      </c>
      <c r="AC22" s="14">
        <f t="shared" si="1"/>
        <v>2988.2736</v>
      </c>
      <c r="AD22" s="14">
        <f t="shared" si="1"/>
        <v>3867.1776</v>
      </c>
      <c r="AE22" s="14">
        <f t="shared" si="1"/>
        <v>4746.0815999999995</v>
      </c>
      <c r="AF22" s="14">
        <f t="shared" si="1"/>
        <v>5624.9856</v>
      </c>
      <c r="AG22" s="1" t="s">
        <v>60</v>
      </c>
    </row>
    <row r="23" spans="1:33" x14ac:dyDescent="0.45">
      <c r="A23" s="10" t="s">
        <v>45</v>
      </c>
      <c r="B23" s="11">
        <f>IF(M31&gt;=10,ROUND((B14*IF(S12+M28+AA2/2+AA3/2+AA4*5/8+AA5*3/4+AA6*7/8+INT((T12+O28+AC2/2+AC3/2+AC4*5/8+AC5*3/4+AC6*7/8)/12)&gt;=40,480,(S12+M28+AA2/2+AA3/2+AA4*5/8+AA5*3/4+AA6*7/8)*12+T12+O28+AC2/2+AC3/2+AC4*5/8+AC5*3/4+AC6*7/8)*816000/(40*12))/10000,1),0)</f>
        <v>61.2</v>
      </c>
      <c r="C23" s="10" t="s">
        <v>9</v>
      </c>
      <c r="L23" s="1" t="s">
        <v>76</v>
      </c>
      <c r="M23" s="1">
        <f t="shared" si="5"/>
        <v>30</v>
      </c>
      <c r="N23" s="1" t="s">
        <v>5</v>
      </c>
      <c r="O23" s="1">
        <f t="shared" si="6"/>
        <v>0</v>
      </c>
      <c r="P23" s="1" t="s">
        <v>8</v>
      </c>
      <c r="S23" s="1">
        <f>M22+M7+M14</f>
        <v>30</v>
      </c>
      <c r="T23" s="1">
        <f>O22+O7+O14</f>
        <v>0</v>
      </c>
      <c r="V23" s="10">
        <v>69</v>
      </c>
      <c r="W23" s="13">
        <f t="shared" si="3"/>
        <v>15.6312</v>
      </c>
      <c r="X23" s="10" t="s">
        <v>9</v>
      </c>
      <c r="Y23" s="14">
        <f t="shared" si="4"/>
        <v>0</v>
      </c>
      <c r="Z23" s="14">
        <f t="shared" si="1"/>
        <v>187.5744</v>
      </c>
      <c r="AA23" s="14">
        <f t="shared" si="1"/>
        <v>1125.4464</v>
      </c>
      <c r="AB23" s="14">
        <f t="shared" si="1"/>
        <v>2063.3184000000001</v>
      </c>
      <c r="AC23" s="14">
        <f t="shared" si="1"/>
        <v>3001.1904</v>
      </c>
      <c r="AD23" s="14">
        <f t="shared" si="1"/>
        <v>3939.0623999999998</v>
      </c>
      <c r="AE23" s="14">
        <f t="shared" si="1"/>
        <v>4876.9344000000001</v>
      </c>
      <c r="AF23" s="14">
        <f t="shared" si="1"/>
        <v>5814.8064000000004</v>
      </c>
      <c r="AG23" s="1" t="s">
        <v>60</v>
      </c>
    </row>
    <row r="24" spans="1:33" x14ac:dyDescent="0.45">
      <c r="A24" s="10" t="s">
        <v>46</v>
      </c>
      <c r="B24" s="11">
        <f>IF(M31&gt;=10,ROUND((B14*(S12*12+T12)*IF(B8&gt;=63.5,65,B8)*54.91+B14*IF(B9&gt;=150,150,B9)*F9*(S12+INT(T12/6))*54.91)/10000,1),0)</f>
        <v>79.099999999999994</v>
      </c>
      <c r="C24" s="10" t="s">
        <v>9</v>
      </c>
      <c r="D24" s="5" t="s">
        <v>22</v>
      </c>
      <c r="E24" s="5"/>
      <c r="F24" s="5"/>
      <c r="L24" s="1" t="s">
        <v>77</v>
      </c>
      <c r="M24" s="1">
        <f t="shared" si="5"/>
        <v>40</v>
      </c>
      <c r="N24" s="1" t="s">
        <v>5</v>
      </c>
      <c r="O24" s="1">
        <f t="shared" si="6"/>
        <v>1</v>
      </c>
      <c r="P24" s="1" t="s">
        <v>8</v>
      </c>
      <c r="S24" s="1">
        <f>M23+M6</f>
        <v>40</v>
      </c>
      <c r="T24" s="1">
        <f>O23+O6</f>
        <v>1</v>
      </c>
      <c r="V24" s="10">
        <v>70</v>
      </c>
      <c r="W24" s="13">
        <f t="shared" si="3"/>
        <v>16.613999999999997</v>
      </c>
      <c r="X24" s="10" t="s">
        <v>9</v>
      </c>
      <c r="Y24" s="14">
        <f t="shared" si="4"/>
        <v>0</v>
      </c>
      <c r="Z24" s="14">
        <f t="shared" si="1"/>
        <v>0</v>
      </c>
      <c r="AA24" s="14">
        <f t="shared" si="1"/>
        <v>996.83999999999992</v>
      </c>
      <c r="AB24" s="14">
        <f t="shared" si="1"/>
        <v>1993.6799999999998</v>
      </c>
      <c r="AC24" s="14">
        <f t="shared" si="1"/>
        <v>2990.5199999999995</v>
      </c>
      <c r="AD24" s="14">
        <f t="shared" si="1"/>
        <v>3987.3599999999997</v>
      </c>
      <c r="AE24" s="14">
        <f t="shared" si="1"/>
        <v>4984.1999999999989</v>
      </c>
      <c r="AF24" s="14">
        <f t="shared" si="1"/>
        <v>5981.0399999999991</v>
      </c>
      <c r="AG24" s="1" t="s">
        <v>60</v>
      </c>
    </row>
    <row r="25" spans="1:33" x14ac:dyDescent="0.45">
      <c r="A25" s="10" t="s">
        <v>51</v>
      </c>
      <c r="B25" s="12">
        <f>B23+B24</f>
        <v>140.30000000000001</v>
      </c>
      <c r="C25" s="10" t="s">
        <v>9</v>
      </c>
      <c r="D25" s="5" t="s">
        <v>22</v>
      </c>
      <c r="E25" s="5"/>
      <c r="F25" s="5"/>
      <c r="V25" s="10">
        <v>71</v>
      </c>
      <c r="W25" s="13">
        <f t="shared" si="3"/>
        <v>17.596799999999998</v>
      </c>
      <c r="X25" s="10" t="s">
        <v>9</v>
      </c>
      <c r="Y25" s="14">
        <f t="shared" si="4"/>
        <v>0</v>
      </c>
      <c r="Z25" s="14">
        <f t="shared" si="4"/>
        <v>0</v>
      </c>
      <c r="AA25" s="14">
        <f t="shared" si="1"/>
        <v>844.64639999999986</v>
      </c>
      <c r="AB25" s="14">
        <f t="shared" si="1"/>
        <v>1900.4543999999999</v>
      </c>
      <c r="AC25" s="14">
        <f t="shared" si="1"/>
        <v>2956.2623999999996</v>
      </c>
      <c r="AD25" s="14">
        <f t="shared" si="1"/>
        <v>4012.0703999999996</v>
      </c>
      <c r="AE25" s="14">
        <f t="shared" si="1"/>
        <v>5067.8783999999996</v>
      </c>
      <c r="AF25" s="14">
        <f t="shared" si="1"/>
        <v>6123.6863999999996</v>
      </c>
      <c r="AG25" s="1" t="s">
        <v>60</v>
      </c>
    </row>
    <row r="26" spans="1:33" x14ac:dyDescent="0.45">
      <c r="A26" s="10" t="s">
        <v>52</v>
      </c>
      <c r="B26" s="11">
        <f>ROUND(B25/12,1)</f>
        <v>11.7</v>
      </c>
      <c r="C26" s="10" t="s">
        <v>9</v>
      </c>
      <c r="L26" s="1" t="s">
        <v>23</v>
      </c>
      <c r="M26" s="1">
        <f>IF(F1=1,IF(I4=1,IF(D13+1-D1&gt;=0,B13-B1,B13-B1-1),IF(D13-D1&gt;=0,B13-B1,B13-B1-1)),IF(F13+1&gt;F1,IF(D13-D1&gt;=0,B13-B1,B13-B1-1),IF(D13+1-D1&gt;=0,B13-B1,B13-B1-1)))</f>
        <v>60</v>
      </c>
      <c r="N26" s="1" t="s">
        <v>18</v>
      </c>
      <c r="O26" s="1">
        <f>IF(I6=1,IF(D13&gt;=D1,IF(F1=1,IF(I4=1,D13-D1+1,D13-D1),IF(F13+1-F1&gt;=0,D13-D1,D13-D1-1)),IF(F1=1,IF(I4=1,D13-D1+13,D13-D1+12),IF(F13+1-F1&gt;=0,D13-D1+12,D13-D1-1+12))),IF(D13&gt;=D1,IF(F1=1,IF(I4=1,D13-D1+1,D13-D1),IF(F13+1-F1&gt;=0,D13-D1,D13-D1-1)),IF(F1=1,IF(I4=1,D13-D1+13,D13-D1+12),IF(F13+1-F1&gt;=0,D13-D1+12,D13-D1-1+12))))</f>
        <v>0</v>
      </c>
      <c r="P26" s="1" t="s">
        <v>8</v>
      </c>
      <c r="Q26" s="1" cm="1">
        <f t="array" ref="Q26">IF(I6=1,0,IF(F1=1,IF(I4=1,0,F13),IF(F13+1&gt;=F1,_xlfn.IFS(F1&lt;&gt;1,F13-F1+1,F1=1,F13),_xlfn.IFS(D1=1,F13-F1+31,D1=2,F13-F1+28,D1=3,F13-F1+31,D1=4,F13-F1+30,D1=5,F13-F1+31,D1=6,F13-F1+30,D1=7,F13-F1+31,D1=8,F13-F1+32,D1=9,F13-F1+30,D1=10,F13-F1+31,D1=11,F13-F1+30,D1=12,F13-F1+31))))</f>
        <v>0</v>
      </c>
      <c r="R26" s="1" t="s">
        <v>7</v>
      </c>
      <c r="V26" s="10">
        <v>72</v>
      </c>
      <c r="W26" s="13">
        <f t="shared" si="3"/>
        <v>18.579599999999999</v>
      </c>
      <c r="X26" s="10" t="s">
        <v>9</v>
      </c>
      <c r="Y26" s="14">
        <f t="shared" si="4"/>
        <v>0</v>
      </c>
      <c r="Z26" s="14">
        <f t="shared" si="4"/>
        <v>0</v>
      </c>
      <c r="AA26" s="14">
        <f t="shared" si="1"/>
        <v>668.86559999999997</v>
      </c>
      <c r="AB26" s="14">
        <f t="shared" si="1"/>
        <v>1783.6415999999999</v>
      </c>
      <c r="AC26" s="14">
        <f t="shared" si="1"/>
        <v>2898.4175999999998</v>
      </c>
      <c r="AD26" s="14">
        <f t="shared" si="1"/>
        <v>4013.1935999999996</v>
      </c>
      <c r="AE26" s="14">
        <f t="shared" si="1"/>
        <v>5127.9695999999994</v>
      </c>
      <c r="AF26" s="14">
        <f t="shared" si="1"/>
        <v>6242.7456000000002</v>
      </c>
      <c r="AG26" s="1" t="s">
        <v>60</v>
      </c>
    </row>
    <row r="27" spans="1:33" x14ac:dyDescent="0.45">
      <c r="A27" s="7" t="s">
        <v>68</v>
      </c>
      <c r="B27" s="7">
        <f>IF(M21&lt;10,IF(S12&gt;=5,5.5,IF(S12&gt;=4,IF(T12&gt;=6,4.9,4.4),IF(S12&gt;=3,IF(T12&gt;=6,3.8,3.3),IF(S12&gt;=1,IF(T12&gt;=6,2.2,1.6),IF(T12&gt;=6,1.1,0.5))))),0)*(IF(B8&gt;=63.5,65,B8)+B9*F9/12)</f>
        <v>0</v>
      </c>
      <c r="C27" s="7" t="s">
        <v>9</v>
      </c>
      <c r="L27" s="1" t="s">
        <v>27</v>
      </c>
      <c r="M27" s="1">
        <f>IF(M10&gt;=60,0,IF(U24&lt;0,IF(T27-1&lt;0,S27-1,S27),IF(T27&lt;0,S27-1,S27)))</f>
        <v>0</v>
      </c>
      <c r="N27" s="1" t="s">
        <v>5</v>
      </c>
      <c r="O27" s="1">
        <f>IF(M10&gt;=60,0,IF(U24&lt;0,IF(T27-1&lt;0,T27-1+12,T27-1),IF(T27&lt;0,T27+12,T27)))</f>
        <v>0</v>
      </c>
      <c r="P27" s="1" t="s">
        <v>8</v>
      </c>
      <c r="S27" s="1">
        <f>IF(M15&gt;=60,0,IF(B13&lt;M3,B13,M3)-M11-M14)</f>
        <v>0</v>
      </c>
      <c r="T27" s="1">
        <f>IF(B13&lt;M3,D13-O11-O14,IF(B13=M3,IF(D13&lt;O3,D13-O11-O14,O3-O11-O14),O3-O11-O14))</f>
        <v>11</v>
      </c>
      <c r="V27" s="10">
        <v>73</v>
      </c>
      <c r="W27" s="13">
        <f t="shared" si="3"/>
        <v>19.5624</v>
      </c>
      <c r="X27" s="10" t="s">
        <v>9</v>
      </c>
      <c r="Y27" s="14">
        <f t="shared" si="4"/>
        <v>0</v>
      </c>
      <c r="Z27" s="14">
        <f t="shared" si="4"/>
        <v>0</v>
      </c>
      <c r="AA27" s="14">
        <f t="shared" si="1"/>
        <v>469.49760000000003</v>
      </c>
      <c r="AB27" s="14">
        <f t="shared" si="1"/>
        <v>1643.2416000000001</v>
      </c>
      <c r="AC27" s="14">
        <f t="shared" si="1"/>
        <v>2816.9856</v>
      </c>
      <c r="AD27" s="14">
        <f t="shared" si="1"/>
        <v>3990.7296000000006</v>
      </c>
      <c r="AE27" s="14">
        <f t="shared" si="1"/>
        <v>5164.4735999999994</v>
      </c>
      <c r="AF27" s="14">
        <f t="shared" si="1"/>
        <v>6338.2175999999999</v>
      </c>
      <c r="AG27" s="1" t="s">
        <v>60</v>
      </c>
    </row>
    <row r="28" spans="1:33" x14ac:dyDescent="0.45">
      <c r="A28" s="7" t="s">
        <v>69</v>
      </c>
      <c r="B28" s="8">
        <f>IF(M31&lt;10,IF(S12&gt;=5,5.5,IF(S12&gt;=4,IF(T12&gt;=6,4.9,4.4),IF(S12&gt;=3,IF(T12&gt;=6,3.8,3.3),IF(S12&gt;=1,IF(T12&gt;=6,2.2,1.6),IF(T12&gt;=6,1.1,0.5))))),0)*(IF(B8&gt;=63.5,65,B8)+B9*F9/12)</f>
        <v>0</v>
      </c>
      <c r="C28" s="7" t="s">
        <v>9</v>
      </c>
      <c r="D28" s="6"/>
      <c r="L28" s="1" t="s">
        <v>28</v>
      </c>
      <c r="M28" s="1">
        <f>IF(T28&gt;=12,S28+INT(T28/12),S28)</f>
        <v>0</v>
      </c>
      <c r="N28" s="1" t="s">
        <v>5</v>
      </c>
      <c r="O28" s="1">
        <f>IF(T28&gt;=12,T28-INT(T28/12)*12,T28)</f>
        <v>0</v>
      </c>
      <c r="P28" s="1" t="s">
        <v>6</v>
      </c>
      <c r="S28" s="1">
        <f>M27+M9</f>
        <v>0</v>
      </c>
      <c r="T28" s="1">
        <f>O27+O9</f>
        <v>0</v>
      </c>
      <c r="V28" s="10">
        <v>74</v>
      </c>
      <c r="W28" s="13">
        <f t="shared" si="3"/>
        <v>20.545199999999998</v>
      </c>
      <c r="X28" s="10" t="s">
        <v>9</v>
      </c>
      <c r="Y28" s="14">
        <f t="shared" si="4"/>
        <v>0</v>
      </c>
      <c r="Z28" s="14">
        <f t="shared" si="4"/>
        <v>0</v>
      </c>
      <c r="AA28" s="14">
        <f t="shared" si="1"/>
        <v>246.54239999999999</v>
      </c>
      <c r="AB28" s="14">
        <f t="shared" si="1"/>
        <v>1479.2543999999998</v>
      </c>
      <c r="AC28" s="14">
        <f t="shared" si="1"/>
        <v>2711.9663999999993</v>
      </c>
      <c r="AD28" s="14">
        <f t="shared" si="1"/>
        <v>3944.6783999999998</v>
      </c>
      <c r="AE28" s="14">
        <f t="shared" si="1"/>
        <v>5177.3903999999993</v>
      </c>
      <c r="AF28" s="14">
        <f t="shared" si="1"/>
        <v>6410.1023999999989</v>
      </c>
      <c r="AG28" s="1" t="s">
        <v>60</v>
      </c>
    </row>
    <row r="29" spans="1:33" x14ac:dyDescent="0.45">
      <c r="A29" s="6" t="s">
        <v>21</v>
      </c>
      <c r="B29" s="6"/>
      <c r="C29" s="6"/>
      <c r="L29" s="1" t="s">
        <v>65</v>
      </c>
      <c r="M29" s="1">
        <f>IF(T29&gt;=12,S29+INT(T29/12),S29)</f>
        <v>30</v>
      </c>
      <c r="N29" s="1" t="s">
        <v>5</v>
      </c>
      <c r="O29" s="1">
        <f>IF(T29&gt;=12,T29-INT(T29/12)*12,T29)</f>
        <v>0</v>
      </c>
      <c r="P29" s="1" t="s">
        <v>8</v>
      </c>
      <c r="S29" s="1">
        <f>M12+M28</f>
        <v>30</v>
      </c>
      <c r="T29" s="1">
        <f>O28+O12</f>
        <v>0</v>
      </c>
      <c r="V29" s="10">
        <v>75</v>
      </c>
      <c r="W29" s="13">
        <f t="shared" si="3"/>
        <v>21.527999999999999</v>
      </c>
      <c r="X29" s="10" t="s">
        <v>9</v>
      </c>
      <c r="Y29" s="14">
        <f t="shared" si="4"/>
        <v>0</v>
      </c>
      <c r="Z29" s="14">
        <f t="shared" si="4"/>
        <v>0</v>
      </c>
      <c r="AA29" s="14">
        <f t="shared" si="1"/>
        <v>0</v>
      </c>
      <c r="AB29" s="14">
        <f t="shared" si="1"/>
        <v>1291.6799999999998</v>
      </c>
      <c r="AC29" s="14">
        <f t="shared" si="1"/>
        <v>2583.3599999999997</v>
      </c>
      <c r="AD29" s="14">
        <f t="shared" si="1"/>
        <v>3875.0399999999995</v>
      </c>
      <c r="AE29" s="14">
        <f t="shared" si="1"/>
        <v>5166.7199999999993</v>
      </c>
      <c r="AF29" s="14">
        <f t="shared" si="1"/>
        <v>6458.4</v>
      </c>
      <c r="AG29" s="1" t="s">
        <v>60</v>
      </c>
    </row>
    <row r="30" spans="1:33" x14ac:dyDescent="0.45">
      <c r="L30" s="1" t="s">
        <v>66</v>
      </c>
      <c r="M30" s="1">
        <f>IF(T30&gt;=12,S30+INT(T30/12),S30)</f>
        <v>30</v>
      </c>
      <c r="N30" s="1" t="s">
        <v>5</v>
      </c>
      <c r="O30" s="1">
        <f>IF(T30&gt;=12,T30-INT(T30/12)*12,T30)</f>
        <v>0</v>
      </c>
      <c r="P30" s="1" t="s">
        <v>8</v>
      </c>
      <c r="S30" s="1">
        <f>M29+M14</f>
        <v>30</v>
      </c>
      <c r="T30" s="1">
        <f>O29+O14</f>
        <v>0</v>
      </c>
    </row>
    <row r="31" spans="1:33" x14ac:dyDescent="0.45">
      <c r="L31" s="1" t="s">
        <v>67</v>
      </c>
      <c r="M31" s="1">
        <f>IF(T31&gt;=12,S31+INT(T31/12),S31)</f>
        <v>40</v>
      </c>
      <c r="N31" s="1" t="s">
        <v>5</v>
      </c>
      <c r="O31" s="1">
        <f>IF(T31&gt;=12,T31-INT(T31/12)*12,T31)</f>
        <v>1</v>
      </c>
      <c r="P31" s="1" t="s">
        <v>8</v>
      </c>
      <c r="S31" s="1">
        <f>M30+M6</f>
        <v>40</v>
      </c>
      <c r="T31" s="1">
        <f>O30+O6</f>
        <v>1</v>
      </c>
    </row>
  </sheetData>
  <mergeCells count="2">
    <mergeCell ref="V1:V6"/>
    <mergeCell ref="V7:V1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kwon honam(権 鎬楠 ○ＲＤＣ□ＩＴ研○ＣＮＬ)</dc:creator>
  <cp:lastModifiedBy>鎬楠 権</cp:lastModifiedBy>
  <dcterms:created xsi:type="dcterms:W3CDTF">2024-11-13T04:25:11Z</dcterms:created>
  <dcterms:modified xsi:type="dcterms:W3CDTF">2025-04-22T11:51:22Z</dcterms:modified>
</cp:coreProperties>
</file>